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31" windowWidth="15165" windowHeight="8700" activeTab="0"/>
  </bookViews>
  <sheets>
    <sheet name="2008" sheetId="1" r:id="rId1"/>
    <sheet name="Sheet2" sheetId="2" r:id="rId2"/>
    <sheet name="Sheet3" sheetId="3" r:id="rId3"/>
  </sheets>
  <definedNames>
    <definedName name="_xlnm.Print_Area" localSheetId="0">'2008'!$A$1:$J$129</definedName>
    <definedName name="_xlnm.Print_Titles" localSheetId="0">'2008'!$5:$5</definedName>
  </definedNames>
  <calcPr fullCalcOnLoad="1"/>
</workbook>
</file>

<file path=xl/sharedStrings.xml><?xml version="1.0" encoding="utf-8"?>
<sst xmlns="http://schemas.openxmlformats.org/spreadsheetml/2006/main" count="134" uniqueCount="133">
  <si>
    <t>(STATE MONIES ONLY)</t>
  </si>
  <si>
    <t>COUNTY</t>
  </si>
  <si>
    <t>AMOUNT DELINQUENT</t>
  </si>
  <si>
    <t>DELINQUENT %</t>
  </si>
  <si>
    <t xml:space="preserve"> AMOUNT DELINQUENT </t>
  </si>
  <si>
    <t>TOTAL STATE AMOUNT DELINQUENT</t>
  </si>
  <si>
    <t>TOTAL STATE DELINQUENT %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</si>
  <si>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</si>
  <si>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</si>
  <si>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</si>
  <si>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</si>
  <si>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</si>
  <si>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</si>
  <si>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</si>
  <si>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</si>
  <si>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</si>
  <si>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</si>
  <si>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</si>
  <si>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</si>
  <si>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</si>
  <si>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</si>
  <si>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</si>
  <si>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</si>
  <si>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</si>
  <si>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</si>
  <si>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</si>
  <si>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</si>
  <si>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</si>
  <si>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</si>
  <si>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</si>
  <si>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</si>
  <si>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</si>
  <si>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</si>
  <si>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</si>
  <si>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</si>
  <si>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</si>
  <si>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</si>
  <si>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</si>
  <si>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</si>
  <si>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</si>
  <si>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</si>
  <si>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</si>
  <si>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</si>
  <si>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</si>
  <si>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</si>
  <si>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</si>
  <si>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</si>
  <si>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</si>
  <si>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</si>
  <si>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</si>
  <si>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</si>
  <si>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</si>
  <si>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</si>
  <si>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</si>
  <si>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</si>
  <si>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</si>
  <si>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</si>
  <si>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</si>
  <si>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</si>
  <si>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</si>
  <si>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</si>
  <si>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</si>
  <si>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</si>
  <si>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</si>
  <si>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</si>
  <si>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</si>
  <si>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</si>
  <si>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</si>
  <si>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</si>
  <si>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</si>
  <si>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</si>
  <si>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</si>
  <si>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</si>
  <si>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</si>
  <si>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</si>
  <si>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</si>
  <si>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</si>
  <si>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</si>
  <si>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</si>
  <si>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MADISON</t>
  </si>
  <si>
    <t>MAGOFFIN</t>
  </si>
  <si>
    <t>MARION</t>
  </si>
  <si>
    <t>MARSHALL</t>
  </si>
  <si>
    <t>MARTIN</t>
  </si>
  <si>
    <t>MASON</t>
  </si>
  <si>
    <t>MCCRACKEN</t>
  </si>
  <si>
    <t>MCCREARY</t>
  </si>
  <si>
    <t>MCLEAN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</si>
  <si>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</si>
  <si>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</si>
  <si>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</si>
  <si>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</si>
  <si>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</si>
  <si>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</si>
  <si>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</si>
  <si>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</si>
  <si>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</si>
  <si>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</si>
  <si>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</si>
  <si>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</si>
  <si>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</si>
  <si>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</si>
  <si>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</si>
  <si>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</si>
  <si>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</si>
  <si>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</si>
  <si>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</si>
  <si>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</si>
  <si>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</si>
  <si>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</si>
  <si>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</si>
  <si>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</si>
  <si>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</si>
  <si>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</si>
  <si>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</si>
  <si>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</si>
  <si>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</si>
  <si>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</si>
  <si>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</si>
  <si>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</si>
  <si>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</si>
  <si>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</si>
  <si>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</si>
  <si>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</si>
  <si>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</si>
  <si>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</si>
  <si>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</si>
  <si>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TOTALS</t>
  </si>
  <si>
    <t>NOTE: Effective 2006, Intagible Property Taxes are exempt.</t>
  </si>
  <si>
    <t>TOTAL REAL PROPERTY TAXES CHARGED</t>
  </si>
  <si>
    <t xml:space="preserve"> TOTAL TANGIBLE PROPERTY TAXES CHARGED </t>
  </si>
  <si>
    <t>TOTAL STATE PROPERTY TAXES CHARGED</t>
  </si>
  <si>
    <t xml:space="preserve"> SHERIFF COLLECTION-DELINQUENCY REPORT 2008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</si>
</sst>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0.00;[Red]0.00"/>
    <numFmt numFmtId="167" formatCode="[$-409]dddd\,\ mmmm\ dd\,\ yyyy"/>
    <numFmt numFmtId="168" formatCode="mm/dd/yy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164" fontId="0" fillId="0" borderId="1" xfId="15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0" xfId="15" applyNumberFormat="1" applyFont="1" applyAlignment="1" applyProtection="1">
      <alignment/>
      <protection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 applyProtection="1">
      <alignment horizontal="center" wrapText="1"/>
      <protection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168" fontId="1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xSplit="1" ySplit="5" topLeftCell="B5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68" sqref="D68"/>
    </sheetView>
  </sheetViews>
  <sheetFormatPr defaultColWidth="9.140625" defaultRowHeight="12.75"/>
  <cols>
    <col min="1" max="1" width="14.28125" style="0" customWidth="1"/>
    <col min="2" max="2" width="12.7109375" style="0" customWidth="1"/>
    <col min="3" max="4" width="12.57421875" style="0" customWidth="1"/>
    <col min="5" max="5" width="13.7109375" style="0" customWidth="1"/>
    <col min="6" max="6" width="13.421875" style="0" customWidth="1"/>
    <col min="7" max="7" width="13.140625" style="0" customWidth="1"/>
    <col min="8" max="9" width="12.57421875" style="0" customWidth="1"/>
    <col min="10" max="10" width="12.7109375" style="0" customWidth="1"/>
  </cols>
  <sheetData>
    <row r="1" spans="1:10" ht="12.75">
      <c r="A1" s="23" t="s">
        <v>132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6:7" ht="12.75">
      <c r="F4" s="1"/>
      <c r="G4" s="1"/>
    </row>
    <row r="5" spans="1:10" ht="68.25" customHeight="1">
      <c r="A5" s="9" t="s">
        <v>1</v>
      </c>
      <c r="B5" s="10" t="s">
        <v>129</v>
      </c>
      <c r="C5" s="10" t="s">
        <v>2</v>
      </c>
      <c r="D5" s="10" t="s">
        <v>3</v>
      </c>
      <c r="E5" s="10" t="s">
        <v>130</v>
      </c>
      <c r="F5" s="10" t="s">
        <v>4</v>
      </c>
      <c r="G5" s="10" t="s">
        <v>3</v>
      </c>
      <c r="H5" s="10" t="s">
        <v>131</v>
      </c>
      <c r="I5" s="10" t="s">
        <v>5</v>
      </c>
      <c r="J5" s="11" t="s">
        <v>6</v>
      </c>
    </row>
    <row r="6" spans="1:10" ht="12.75">
      <c r="A6" s="1" t="s">
        <v>7</v>
      </c>
      <c r="B6" s="3">
        <f>601802.87+82.72+14730.76+24.4-4714.08</f>
        <v>611926.67</v>
      </c>
      <c r="C6" s="3">
        <v>15227.65</v>
      </c>
      <c r="D6" s="20">
        <f aca="true" t="shared" si="0" ref="D6:D69">C6/B6*100</f>
        <v>2.48847627445295</v>
      </c>
      <c r="E6" s="3">
        <f>63570.69+22.72+24586.28+18012.5+225.88+0.97+0.43-405.8-139.51-15-0.36</f>
        <v>105858.8</v>
      </c>
      <c r="F6" s="4">
        <f>45.07+21.3</f>
        <v>66.37</v>
      </c>
      <c r="G6" s="20">
        <f aca="true" t="shared" si="1" ref="G6:G49">F6/E6*100</f>
        <v>0.0626967243157867</v>
      </c>
      <c r="H6" s="6">
        <f>(B6+E6)</f>
        <v>717785.4700000001</v>
      </c>
      <c r="I6" s="6">
        <f>(C6+F6)</f>
        <v>15294.02</v>
      </c>
      <c r="J6" s="20">
        <f aca="true" t="shared" si="2" ref="J6:J69">I6/H6*100</f>
        <v>2.130722986075491</v>
      </c>
    </row>
    <row r="7" spans="1:10" ht="12.75">
      <c r="A7" s="1" t="s">
        <v>8</v>
      </c>
      <c r="B7" s="3">
        <f>714466.75+39.96+1720.22+437.13+990-4319.84</f>
        <v>713334.22</v>
      </c>
      <c r="C7" s="3">
        <v>13857.95</v>
      </c>
      <c r="D7" s="20">
        <f t="shared" si="0"/>
        <v>1.9427008562690293</v>
      </c>
      <c r="E7" s="3">
        <f>115602.26+141400.81+21775.94-6.93</f>
        <v>278772.08</v>
      </c>
      <c r="F7" s="3">
        <f>18893.89+1.19</f>
        <v>18895.079999999998</v>
      </c>
      <c r="G7" s="20">
        <f t="shared" si="1"/>
        <v>6.777967147929591</v>
      </c>
      <c r="H7" s="6">
        <f aca="true" t="shared" si="3" ref="H7:H70">(B7+E7)</f>
        <v>992106.3</v>
      </c>
      <c r="I7" s="6">
        <f aca="true" t="shared" si="4" ref="I7:I70">(C7+F7)</f>
        <v>32753.03</v>
      </c>
      <c r="J7" s="20">
        <f t="shared" si="2"/>
        <v>3.3013629688673483</v>
      </c>
    </row>
    <row r="8" spans="1:10" ht="12.75">
      <c r="A8" s="1" t="s">
        <v>9</v>
      </c>
      <c r="B8" s="15">
        <f>1525884.06+390.77+228.24+1210.54-4233.4</f>
        <v>1523480.2100000002</v>
      </c>
      <c r="C8" s="15">
        <v>41174.98</v>
      </c>
      <c r="D8" s="19">
        <f t="shared" si="0"/>
        <v>2.702692147212073</v>
      </c>
      <c r="E8" s="15">
        <f>120991.47+104615.4+22839.51+198.74+0.04-333.72-4.88</f>
        <v>248306.56</v>
      </c>
      <c r="F8" s="15">
        <f>8895.83+19.92</f>
        <v>8915.75</v>
      </c>
      <c r="G8" s="19">
        <f t="shared" si="1"/>
        <v>3.5906220117583683</v>
      </c>
      <c r="H8" s="16">
        <f t="shared" si="3"/>
        <v>1771786.7700000003</v>
      </c>
      <c r="I8" s="16">
        <f t="shared" si="4"/>
        <v>50090.73</v>
      </c>
      <c r="J8" s="19">
        <f t="shared" si="2"/>
        <v>2.8271308290669763</v>
      </c>
    </row>
    <row r="9" spans="1:10" ht="12.75">
      <c r="A9" s="1" t="s">
        <v>10</v>
      </c>
      <c r="B9" s="3">
        <f>372526.72+91.99-1352.02</f>
        <v>371266.68999999994</v>
      </c>
      <c r="C9" s="3">
        <v>6707.69</v>
      </c>
      <c r="D9" s="20">
        <f t="shared" si="0"/>
        <v>1.806703962588187</v>
      </c>
      <c r="E9" s="3">
        <f>144834.39+33.53+279270.1+13252.76+20.24+3.53-160.36-155.89</f>
        <v>437098.30000000005</v>
      </c>
      <c r="F9" s="3">
        <f>158.99+12.5</f>
        <v>171.49</v>
      </c>
      <c r="G9" s="20">
        <f t="shared" si="1"/>
        <v>0.039233737582598696</v>
      </c>
      <c r="H9" s="6">
        <f t="shared" si="3"/>
        <v>808364.99</v>
      </c>
      <c r="I9" s="6">
        <f t="shared" si="4"/>
        <v>6879.179999999999</v>
      </c>
      <c r="J9" s="20">
        <f t="shared" si="2"/>
        <v>0.8509992497324753</v>
      </c>
    </row>
    <row r="10" spans="1:10" ht="12.75">
      <c r="A10" s="1" t="s">
        <v>11</v>
      </c>
      <c r="B10" s="3">
        <f>2083357.88+458.11+3690.27+9.76+584.89-5022.44</f>
        <v>2083078.47</v>
      </c>
      <c r="C10" s="3">
        <v>25776.78</v>
      </c>
      <c r="D10" s="20">
        <f t="shared" si="0"/>
        <v>1.237436821091046</v>
      </c>
      <c r="E10" s="3">
        <f>418957.47+1483.62+567709.71+92000.04+1732.62+2932.08+24.75-1477.56-660.29-26.66</f>
        <v>1082675.78</v>
      </c>
      <c r="F10" s="3">
        <f>1149.47+282.4</f>
        <v>1431.87</v>
      </c>
      <c r="G10" s="20">
        <f t="shared" si="1"/>
        <v>0.13225288922598785</v>
      </c>
      <c r="H10" s="6">
        <f t="shared" si="3"/>
        <v>3165754.25</v>
      </c>
      <c r="I10" s="6">
        <f t="shared" si="4"/>
        <v>27208.649999999998</v>
      </c>
      <c r="J10" s="20">
        <f t="shared" si="2"/>
        <v>0.859468166235582</v>
      </c>
    </row>
    <row r="11" spans="1:10" ht="12.75">
      <c r="A11" s="1" t="s">
        <v>12</v>
      </c>
      <c r="B11" s="3">
        <f>331500.38+43.92+92.11-4184.28</f>
        <v>327452.12999999995</v>
      </c>
      <c r="C11" s="3">
        <v>14890.1</v>
      </c>
      <c r="D11" s="20">
        <f t="shared" si="0"/>
        <v>4.5472600834815164</v>
      </c>
      <c r="E11" s="3">
        <f>43984.67+1425.13+3177.59+13.93+7.32</f>
        <v>48608.64</v>
      </c>
      <c r="F11" s="3">
        <f>672.26+75.26</f>
        <v>747.52</v>
      </c>
      <c r="G11" s="20">
        <f t="shared" si="1"/>
        <v>1.5378336032441968</v>
      </c>
      <c r="H11" s="6">
        <f t="shared" si="3"/>
        <v>376060.76999999996</v>
      </c>
      <c r="I11" s="6">
        <f t="shared" si="4"/>
        <v>15637.62</v>
      </c>
      <c r="J11" s="20">
        <f t="shared" si="2"/>
        <v>4.158269420125902</v>
      </c>
    </row>
    <row r="12" spans="1:10" ht="12.75">
      <c r="A12" s="1" t="s">
        <v>13</v>
      </c>
      <c r="B12" s="3">
        <f>779516.6+76.62+94880.35-6791.17</f>
        <v>867682.3999999999</v>
      </c>
      <c r="C12" s="3">
        <v>24332.32</v>
      </c>
      <c r="D12" s="20">
        <f t="shared" si="0"/>
        <v>2.8042887581907854</v>
      </c>
      <c r="E12" s="3">
        <f>423982.12+51.75+47938.61+27783.04+0.4+13.35-230.7-0.4</f>
        <v>499538.1699999999</v>
      </c>
      <c r="F12" s="3">
        <f>19418.11+288.03+337.39</f>
        <v>20043.53</v>
      </c>
      <c r="G12" s="20">
        <f t="shared" si="1"/>
        <v>4.012412104564502</v>
      </c>
      <c r="H12" s="6">
        <f t="shared" si="3"/>
        <v>1367220.5699999998</v>
      </c>
      <c r="I12" s="6">
        <f t="shared" si="4"/>
        <v>44375.85</v>
      </c>
      <c r="J12" s="20">
        <f t="shared" si="2"/>
        <v>3.245697949088054</v>
      </c>
    </row>
    <row r="13" spans="1:10" ht="12.75">
      <c r="A13" s="1" t="s">
        <v>14</v>
      </c>
      <c r="B13" s="3">
        <f>12185024.4+33157.36+1241.96+26732.91+56018.65+17123.55-106452.44</f>
        <v>12212846.390000002</v>
      </c>
      <c r="C13" s="3">
        <v>77141.23</v>
      </c>
      <c r="D13" s="20">
        <f t="shared" si="0"/>
        <v>0.6316400578260281</v>
      </c>
      <c r="E13" s="3">
        <f>2593797.42+86.9+9676.36+1224831.51+858.39+28381.77+540059+106.75+9613.41+11461.54+14.27+4862.4-20148.64-27984.35-64220.78</f>
        <v>4311395.95</v>
      </c>
      <c r="F13" s="3">
        <f>30190.51+2201.6+5388.57</f>
        <v>37780.67999999999</v>
      </c>
      <c r="G13" s="20">
        <f t="shared" si="1"/>
        <v>0.8762980815993018</v>
      </c>
      <c r="H13" s="6">
        <f t="shared" si="3"/>
        <v>16524242.340000004</v>
      </c>
      <c r="I13" s="6">
        <f t="shared" si="4"/>
        <v>114921.90999999999</v>
      </c>
      <c r="J13" s="20">
        <f t="shared" si="2"/>
        <v>0.6954746101841542</v>
      </c>
    </row>
    <row r="14" spans="1:10" s="14" customFormat="1" ht="12.75">
      <c r="A14" s="1" t="s">
        <v>15</v>
      </c>
      <c r="B14" s="15">
        <f>1206365.15+1114.96+799.1+374.25-6133.07</f>
        <v>1202520.39</v>
      </c>
      <c r="C14" s="15">
        <v>20933.21</v>
      </c>
      <c r="D14" s="19">
        <f t="shared" si="0"/>
        <v>1.7407779671827435</v>
      </c>
      <c r="E14" s="15">
        <f>233816.2+22.06+260397.86+36849.77+73.38+10.44+1655.25-10763.19-878.34</f>
        <v>521183.42999999993</v>
      </c>
      <c r="F14" s="15">
        <f>1959.72+2133.25</f>
        <v>4092.9700000000003</v>
      </c>
      <c r="G14" s="19">
        <f t="shared" si="1"/>
        <v>0.78532235761985</v>
      </c>
      <c r="H14" s="16">
        <f t="shared" si="3"/>
        <v>1723703.8199999998</v>
      </c>
      <c r="I14" s="16">
        <f t="shared" si="4"/>
        <v>25026.18</v>
      </c>
      <c r="J14" s="19">
        <f t="shared" si="2"/>
        <v>1.4518840017422483</v>
      </c>
    </row>
    <row r="15" spans="1:10" ht="12.75">
      <c r="A15" s="1" t="s">
        <v>16</v>
      </c>
      <c r="B15" s="15">
        <f>2042744.62+7623.17+942.77+367-16637.11</f>
        <v>2035040.45</v>
      </c>
      <c r="C15" s="15">
        <v>245534.26</v>
      </c>
      <c r="D15" s="19">
        <f t="shared" si="0"/>
        <v>12.065325777676804</v>
      </c>
      <c r="E15" s="15">
        <f>629994.34+1874.95+628778.24+153948.54+7144.85+226.83+825+11607.14+44.79-2036.14-7208.24</f>
        <v>1425200.3</v>
      </c>
      <c r="F15" s="15">
        <f>11840.22+1077.67+1796.09</f>
        <v>14713.98</v>
      </c>
      <c r="G15" s="19">
        <f t="shared" si="1"/>
        <v>1.0324148823151384</v>
      </c>
      <c r="H15" s="16">
        <f t="shared" si="3"/>
        <v>3460240.75</v>
      </c>
      <c r="I15" s="16">
        <f t="shared" si="4"/>
        <v>260248.24000000002</v>
      </c>
      <c r="J15" s="19">
        <f t="shared" si="2"/>
        <v>7.521102108285385</v>
      </c>
    </row>
    <row r="16" spans="1:10" ht="12.75">
      <c r="A16" s="1" t="s">
        <v>17</v>
      </c>
      <c r="B16" s="3">
        <f>1888593.86+38.31+142.25+181.05-2293.11</f>
        <v>1886662.36</v>
      </c>
      <c r="C16" s="3">
        <f>34988.38+3562.4</f>
        <v>38550.78</v>
      </c>
      <c r="D16" s="20">
        <f t="shared" si="0"/>
        <v>2.0433322261223252</v>
      </c>
      <c r="E16" s="3">
        <f>490925.53+22373.72+404662.78+61137.76+1357.6+691.1+0.29+0.74-3553.61-689.48</f>
        <v>976906.43</v>
      </c>
      <c r="F16" s="3">
        <f>4567.79+2256.45+1461.17</f>
        <v>8285.41</v>
      </c>
      <c r="G16" s="20">
        <f t="shared" si="1"/>
        <v>0.8481272868682008</v>
      </c>
      <c r="H16" s="6">
        <f t="shared" si="3"/>
        <v>2863568.79</v>
      </c>
      <c r="I16" s="6">
        <f t="shared" si="4"/>
        <v>46836.19</v>
      </c>
      <c r="J16" s="20">
        <f t="shared" si="2"/>
        <v>1.6355880872692428</v>
      </c>
    </row>
    <row r="17" spans="1:10" ht="12.75">
      <c r="A17" s="1" t="s">
        <v>18</v>
      </c>
      <c r="B17" s="3">
        <f>308744.35-723.83</f>
        <v>308020.51999999996</v>
      </c>
      <c r="C17" s="3">
        <v>4584.61</v>
      </c>
      <c r="D17" s="20">
        <f t="shared" si="0"/>
        <v>1.4884105773212772</v>
      </c>
      <c r="E17" s="3">
        <f>16836.64+35497.12+4910.21+1.57</f>
        <v>57245.54</v>
      </c>
      <c r="F17" s="3">
        <f>52.1+127.59</f>
        <v>179.69</v>
      </c>
      <c r="G17" s="20">
        <f t="shared" si="1"/>
        <v>0.3138934491665202</v>
      </c>
      <c r="H17" s="6">
        <f t="shared" si="3"/>
        <v>365266.05999999994</v>
      </c>
      <c r="I17" s="6">
        <f t="shared" si="4"/>
        <v>4764.299999999999</v>
      </c>
      <c r="J17" s="20">
        <f t="shared" si="2"/>
        <v>1.3043368989716702</v>
      </c>
    </row>
    <row r="18" spans="1:10" ht="12.75">
      <c r="A18" s="1" t="s">
        <v>19</v>
      </c>
      <c r="B18" s="3">
        <f>319230.6+12107.68+60.4-5331.75</f>
        <v>326066.93</v>
      </c>
      <c r="C18" s="3">
        <v>24912.39</v>
      </c>
      <c r="D18" s="20">
        <f t="shared" si="0"/>
        <v>7.640268824563104</v>
      </c>
      <c r="E18" s="3">
        <f>225650.05+26837.6+6402.44+1.8-8.09-7.5</f>
        <v>258876.3</v>
      </c>
      <c r="F18" s="3">
        <f>2071.8+5773.69+79.92</f>
        <v>7925.41</v>
      </c>
      <c r="G18" s="20">
        <f t="shared" si="1"/>
        <v>3.0614660360952315</v>
      </c>
      <c r="H18" s="6">
        <f t="shared" si="3"/>
        <v>584943.23</v>
      </c>
      <c r="I18" s="6">
        <f t="shared" si="4"/>
        <v>32837.8</v>
      </c>
      <c r="J18" s="20">
        <f t="shared" si="2"/>
        <v>5.613843928068029</v>
      </c>
    </row>
    <row r="19" spans="1:10" ht="12.75">
      <c r="A19" s="1" t="s">
        <v>20</v>
      </c>
      <c r="B19" s="3">
        <f>837692.47+544.3+954.13+132.98+263.05-2863.46</f>
        <v>836723.4700000001</v>
      </c>
      <c r="C19" s="3">
        <v>13118.7</v>
      </c>
      <c r="D19" s="20">
        <f t="shared" si="0"/>
        <v>1.567865665343414</v>
      </c>
      <c r="E19" s="3">
        <f>90609.01+10491.41+11925.27+2.54</f>
        <v>113028.23</v>
      </c>
      <c r="F19" s="3">
        <f>499.21+24.35</f>
        <v>523.56</v>
      </c>
      <c r="G19" s="20">
        <f t="shared" si="1"/>
        <v>0.4632117126845214</v>
      </c>
      <c r="H19" s="6">
        <f t="shared" si="3"/>
        <v>949751.7000000001</v>
      </c>
      <c r="I19" s="6">
        <f t="shared" si="4"/>
        <v>13642.26</v>
      </c>
      <c r="J19" s="20">
        <f t="shared" si="2"/>
        <v>1.436402798752558</v>
      </c>
    </row>
    <row r="20" spans="1:10" ht="12.75">
      <c r="A20" s="1" t="s">
        <v>21</v>
      </c>
      <c r="B20" s="3">
        <f>5141857.41+1809.75+1645.35+4564.37+3576.23-12117.67</f>
        <v>5141335.44</v>
      </c>
      <c r="C20" s="3">
        <f>110445.4+269.13</f>
        <v>110714.53</v>
      </c>
      <c r="D20" s="20">
        <f t="shared" si="0"/>
        <v>2.1534196959535477</v>
      </c>
      <c r="E20" s="3">
        <f>402057+91.46+181379.41+60077.07+73.48+893.16+115.38-5024.03</f>
        <v>639662.9299999999</v>
      </c>
      <c r="F20" s="3">
        <f>4298.51+5227.07+1342.38+23.1-13.2</f>
        <v>10877.859999999999</v>
      </c>
      <c r="G20" s="20">
        <f t="shared" si="1"/>
        <v>1.7005612627888256</v>
      </c>
      <c r="H20" s="6">
        <f t="shared" si="3"/>
        <v>5780998.37</v>
      </c>
      <c r="I20" s="6">
        <f t="shared" si="4"/>
        <v>121592.39</v>
      </c>
      <c r="J20" s="20">
        <f t="shared" si="2"/>
        <v>2.1033112659396926</v>
      </c>
    </row>
    <row r="21" spans="1:10" ht="12.75">
      <c r="A21" s="1" t="s">
        <v>22</v>
      </c>
      <c r="B21" s="3">
        <f>386273.78+2368.94+147.01-2727.78</f>
        <v>386061.95</v>
      </c>
      <c r="C21" s="3">
        <f>91.65+6802.02</f>
        <v>6893.67</v>
      </c>
      <c r="D21" s="20">
        <f t="shared" si="0"/>
        <v>1.7856382893988905</v>
      </c>
      <c r="E21" s="3">
        <f>57360.2+6.58+42326.92+9388.06+7.5+2.25+0.06-80.06-7.5</f>
        <v>109004.01</v>
      </c>
      <c r="F21" s="3">
        <f>1275.68+124.23+150.99</f>
        <v>1550.9</v>
      </c>
      <c r="G21" s="20">
        <f t="shared" si="1"/>
        <v>1.4227916936266842</v>
      </c>
      <c r="H21" s="6">
        <f t="shared" si="3"/>
        <v>495065.96</v>
      </c>
      <c r="I21" s="6">
        <f t="shared" si="4"/>
        <v>8444.57</v>
      </c>
      <c r="J21" s="20">
        <f t="shared" si="2"/>
        <v>1.7057464423528532</v>
      </c>
    </row>
    <row r="22" spans="1:10" ht="12.75">
      <c r="A22" s="1" t="s">
        <v>23</v>
      </c>
      <c r="B22" s="3">
        <f>422743.83+3082.41+140.55+1189.32-5145.21</f>
        <v>422010.89999999997</v>
      </c>
      <c r="C22" s="3">
        <f>6564.82+3.26</f>
        <v>6568.08</v>
      </c>
      <c r="D22" s="20">
        <f t="shared" si="0"/>
        <v>1.556376861355951</v>
      </c>
      <c r="E22" s="3">
        <f>97171.41+65580.86+19542.64+131.89+3.7</f>
        <v>182430.50000000006</v>
      </c>
      <c r="F22" s="3">
        <f>182.85+7.12</f>
        <v>189.97</v>
      </c>
      <c r="G22" s="20">
        <f t="shared" si="1"/>
        <v>0.10413280674010099</v>
      </c>
      <c r="H22" s="6">
        <f t="shared" si="3"/>
        <v>604441.4</v>
      </c>
      <c r="I22" s="6">
        <f t="shared" si="4"/>
        <v>6758.05</v>
      </c>
      <c r="J22" s="20">
        <f t="shared" si="2"/>
        <v>1.1180653740792739</v>
      </c>
    </row>
    <row r="23" spans="1:10" ht="12.75">
      <c r="A23" s="1" t="s">
        <v>24</v>
      </c>
      <c r="B23" s="4">
        <f>1826616.02+718.89+54.22+554.73-6705.67</f>
        <v>1821238.19</v>
      </c>
      <c r="C23" s="3">
        <v>23918.17</v>
      </c>
      <c r="D23" s="20">
        <f t="shared" si="0"/>
        <v>1.3132917007412412</v>
      </c>
      <c r="E23" s="3">
        <f>279210.82+10.89+92.92+172501.62+159.71+57496.5+2.17+1.32+16.23-2486.34-1456.15</f>
        <v>505549.68999999994</v>
      </c>
      <c r="F23" s="3">
        <f>2250.29+58.15+514.78</f>
        <v>2823.2200000000003</v>
      </c>
      <c r="G23" s="20">
        <f t="shared" si="1"/>
        <v>0.5584456000754349</v>
      </c>
      <c r="H23" s="6">
        <f t="shared" si="3"/>
        <v>2326787.88</v>
      </c>
      <c r="I23" s="6">
        <f t="shared" si="4"/>
        <v>26741.39</v>
      </c>
      <c r="J23" s="20">
        <f t="shared" si="2"/>
        <v>1.1492835350337136</v>
      </c>
    </row>
    <row r="24" spans="1:10" ht="12.75">
      <c r="A24" s="1" t="s">
        <v>25</v>
      </c>
      <c r="B24" s="15">
        <f>6163339.13+2118.39+595.84-7884.21</f>
        <v>6158169.149999999</v>
      </c>
      <c r="C24" s="15">
        <v>89809.8</v>
      </c>
      <c r="D24" s="19">
        <f t="shared" si="0"/>
        <v>1.4583847538517194</v>
      </c>
      <c r="E24" s="15">
        <f>750128.01+62.31+387528.66+2185.9+85089.69+269.34+365.12+2.21-34353.76-21.6-18.71</f>
        <v>1191237.17</v>
      </c>
      <c r="F24" s="15">
        <f>9530.73+131.81+573.51+210.41</f>
        <v>10446.46</v>
      </c>
      <c r="G24" s="19">
        <f t="shared" si="1"/>
        <v>0.8769420786290609</v>
      </c>
      <c r="H24" s="16">
        <f t="shared" si="3"/>
        <v>7349406.319999999</v>
      </c>
      <c r="I24" s="16">
        <f t="shared" si="4"/>
        <v>100256.26000000001</v>
      </c>
      <c r="J24" s="19">
        <f t="shared" si="2"/>
        <v>1.3641409337672872</v>
      </c>
    </row>
    <row r="25" spans="1:10" ht="12.75">
      <c r="A25" s="1" t="s">
        <v>26</v>
      </c>
      <c r="B25" s="3">
        <f>164115.86+38.31+88.41-2306.94</f>
        <v>161935.63999999998</v>
      </c>
      <c r="C25" s="3">
        <v>3347.31</v>
      </c>
      <c r="D25" s="20">
        <f t="shared" si="0"/>
        <v>2.0670619512789155</v>
      </c>
      <c r="E25" s="3">
        <f>26815.39+296.65+1678.87</f>
        <v>28790.91</v>
      </c>
      <c r="F25" s="3">
        <v>18.42</v>
      </c>
      <c r="G25" s="20">
        <f t="shared" si="1"/>
        <v>0.0639785265557775</v>
      </c>
      <c r="H25" s="6">
        <f t="shared" si="3"/>
        <v>190726.55</v>
      </c>
      <c r="I25" s="6">
        <f t="shared" si="4"/>
        <v>3365.73</v>
      </c>
      <c r="J25" s="20">
        <f t="shared" si="2"/>
        <v>1.764688765145702</v>
      </c>
    </row>
    <row r="26" spans="1:10" ht="12.75">
      <c r="A26" s="1" t="s">
        <v>27</v>
      </c>
      <c r="B26" s="15">
        <f>562198.11+1101.02+99137.87-1088.73</f>
        <v>661348.27</v>
      </c>
      <c r="C26" s="15">
        <v>5038.36</v>
      </c>
      <c r="D26" s="19">
        <f t="shared" si="0"/>
        <v>0.7618315838340364</v>
      </c>
      <c r="E26" s="15">
        <f>493913.76+519920.47+205179.51-7015.28</f>
        <v>1211998.46</v>
      </c>
      <c r="F26" s="15">
        <v>530.89</v>
      </c>
      <c r="G26" s="19">
        <f t="shared" si="1"/>
        <v>0.043802860937628585</v>
      </c>
      <c r="H26" s="16">
        <f t="shared" si="3"/>
        <v>1873346.73</v>
      </c>
      <c r="I26" s="16">
        <f t="shared" si="4"/>
        <v>5569.25</v>
      </c>
      <c r="J26" s="19">
        <f t="shared" si="2"/>
        <v>0.29728879928170054</v>
      </c>
    </row>
    <row r="27" spans="1:10" ht="12.75">
      <c r="A27" s="1" t="s">
        <v>28</v>
      </c>
      <c r="B27" s="15">
        <f>743612.31+386.98+2066.18+594.13-10255.15</f>
        <v>736404.4500000001</v>
      </c>
      <c r="C27" s="15">
        <f>27261.16+48.8</f>
        <v>27309.96</v>
      </c>
      <c r="D27" s="19">
        <f t="shared" si="0"/>
        <v>3.708554449935765</v>
      </c>
      <c r="E27" s="15">
        <f>97315.27+249.65+25657.78+240.77+17204.23+38.83+9-890.29-32.75</f>
        <v>139792.49</v>
      </c>
      <c r="F27" s="15">
        <f>2464.87+65.11</f>
        <v>2529.98</v>
      </c>
      <c r="G27" s="19">
        <f t="shared" si="1"/>
        <v>1.80981109929439</v>
      </c>
      <c r="H27" s="16">
        <f t="shared" si="3"/>
        <v>876196.9400000001</v>
      </c>
      <c r="I27" s="16">
        <f t="shared" si="4"/>
        <v>29839.94</v>
      </c>
      <c r="J27" s="19">
        <f t="shared" si="2"/>
        <v>3.4056202022344424</v>
      </c>
    </row>
    <row r="28" spans="1:10" ht="12.75">
      <c r="A28" s="1" t="s">
        <v>29</v>
      </c>
      <c r="B28" s="3">
        <f>499026.77+14.64+166.94+30.5-2524.79</f>
        <v>496714.06000000006</v>
      </c>
      <c r="C28" s="3">
        <v>7502.23</v>
      </c>
      <c r="D28" s="20">
        <f t="shared" si="0"/>
        <v>1.5103719834304667</v>
      </c>
      <c r="E28" s="3">
        <f>41360.88+19833.14+11465.6-6.93-169.5</f>
        <v>72483.19</v>
      </c>
      <c r="F28" s="4">
        <f>6.57+3.3</f>
        <v>9.870000000000001</v>
      </c>
      <c r="G28" s="20">
        <f t="shared" si="1"/>
        <v>0.01361695035773122</v>
      </c>
      <c r="H28" s="6">
        <f t="shared" si="3"/>
        <v>569197.25</v>
      </c>
      <c r="I28" s="6">
        <f t="shared" si="4"/>
        <v>7512.099999999999</v>
      </c>
      <c r="J28" s="20">
        <f t="shared" si="2"/>
        <v>1.3197709581344603</v>
      </c>
    </row>
    <row r="29" spans="1:10" ht="12.75">
      <c r="A29" s="1" t="s">
        <v>30</v>
      </c>
      <c r="B29" s="3">
        <f>2820628.49+359.5+4145.54+1005.72+4743.46-8955.33</f>
        <v>2821927.3800000004</v>
      </c>
      <c r="C29" s="3">
        <v>44736.4</v>
      </c>
      <c r="D29" s="20">
        <f t="shared" si="0"/>
        <v>1.5853136518346547</v>
      </c>
      <c r="E29" s="3">
        <f>601863.69+81+384703.77+125801.17+20.7+19453.7+24.08-1000.99-5155.03-368.73</f>
        <v>1125423.3599999999</v>
      </c>
      <c r="F29" s="3">
        <f>6580.04+24884.46+6147.48</f>
        <v>37611.979999999996</v>
      </c>
      <c r="G29" s="20">
        <f t="shared" si="1"/>
        <v>3.34202943859278</v>
      </c>
      <c r="H29" s="6">
        <f t="shared" si="3"/>
        <v>3947350.74</v>
      </c>
      <c r="I29" s="6">
        <f t="shared" si="4"/>
        <v>82348.38</v>
      </c>
      <c r="J29" s="20">
        <f t="shared" si="2"/>
        <v>2.086168304365069</v>
      </c>
    </row>
    <row r="30" spans="1:10" ht="12.75">
      <c r="A30" s="1" t="s">
        <v>31</v>
      </c>
      <c r="B30" s="4">
        <f>2452011.57+220.94+955.65-4827.14</f>
        <v>2448361.0199999996</v>
      </c>
      <c r="C30" s="3">
        <v>47937.13</v>
      </c>
      <c r="D30" s="20">
        <f t="shared" si="0"/>
        <v>1.9579273484757571</v>
      </c>
      <c r="E30" s="3">
        <f>348297.41+297.36+377485.98+6854.69+92280.07+151.09+21.9+4.48-30267-19.41-4238.56</f>
        <v>790868.0099999999</v>
      </c>
      <c r="F30" s="3">
        <f>9999.8+11825.34+2064.14</f>
        <v>23889.28</v>
      </c>
      <c r="G30" s="20">
        <f t="shared" si="1"/>
        <v>3.0206405743987546</v>
      </c>
      <c r="H30" s="6">
        <f t="shared" si="3"/>
        <v>3239229.0299999993</v>
      </c>
      <c r="I30" s="6">
        <f t="shared" si="4"/>
        <v>71826.41</v>
      </c>
      <c r="J30" s="20">
        <f t="shared" si="2"/>
        <v>2.2173921428457937</v>
      </c>
    </row>
    <row r="31" spans="1:10" ht="12.75">
      <c r="A31" s="1" t="s">
        <v>32</v>
      </c>
      <c r="B31" s="4">
        <f>391582.15+57172.47+507.97-5931.43</f>
        <v>443331.16</v>
      </c>
      <c r="C31" s="3">
        <f>22476.92+123.22</f>
        <v>22600.14</v>
      </c>
      <c r="D31" s="20">
        <f t="shared" si="0"/>
        <v>5.097800930572983</v>
      </c>
      <c r="E31" s="3">
        <f>85751.49+11254.83+8630.98+3.38+3.46-628.03</f>
        <v>105016.11000000002</v>
      </c>
      <c r="F31" s="3">
        <f>2900.94+6796.99+574.45</f>
        <v>10272.380000000001</v>
      </c>
      <c r="G31" s="20">
        <f t="shared" si="1"/>
        <v>9.78171825256144</v>
      </c>
      <c r="H31" s="6">
        <f t="shared" si="3"/>
        <v>548347.27</v>
      </c>
      <c r="I31" s="6">
        <f t="shared" si="4"/>
        <v>32872.520000000004</v>
      </c>
      <c r="J31" s="20">
        <f t="shared" si="2"/>
        <v>5.9948360826160405</v>
      </c>
    </row>
    <row r="32" spans="1:10" ht="12.75">
      <c r="A32" s="1" t="s">
        <v>33</v>
      </c>
      <c r="B32" s="3">
        <f>414377.53+128.83+7738.46+385.77-4000.19</f>
        <v>418630.4000000001</v>
      </c>
      <c r="C32" s="3">
        <v>13894.9</v>
      </c>
      <c r="D32" s="20">
        <f t="shared" si="0"/>
        <v>3.319133058659858</v>
      </c>
      <c r="E32" s="3">
        <f>58340.14+759.47+42115.94+8159.6+911.79-50.62-2.45</f>
        <v>110233.87000000001</v>
      </c>
      <c r="F32" s="3">
        <f>1124.06+10+11.25</f>
        <v>1145.31</v>
      </c>
      <c r="G32" s="20">
        <f t="shared" si="1"/>
        <v>1.0389819390356156</v>
      </c>
      <c r="H32" s="6">
        <f t="shared" si="3"/>
        <v>528864.2700000001</v>
      </c>
      <c r="I32" s="6">
        <f t="shared" si="4"/>
        <v>15040.21</v>
      </c>
      <c r="J32" s="20">
        <f t="shared" si="2"/>
        <v>2.8438695622224572</v>
      </c>
    </row>
    <row r="33" spans="1:10" ht="12.75">
      <c r="A33" s="1" t="s">
        <v>34</v>
      </c>
      <c r="B33" s="3">
        <f>337612.72+668.61-8308.13</f>
        <v>329973.19999999995</v>
      </c>
      <c r="C33" s="3">
        <v>4355.51</v>
      </c>
      <c r="D33" s="20">
        <f t="shared" si="0"/>
        <v>1.319958711798413</v>
      </c>
      <c r="E33" s="3">
        <f>34155.68+10052.07+6063.97+170.32+2.06</f>
        <v>50444.1</v>
      </c>
      <c r="F33" s="3">
        <v>601.24</v>
      </c>
      <c r="G33" s="20">
        <f t="shared" si="1"/>
        <v>1.1918936010356018</v>
      </c>
      <c r="H33" s="6">
        <f t="shared" si="3"/>
        <v>380417.29999999993</v>
      </c>
      <c r="I33" s="6">
        <f t="shared" si="4"/>
        <v>4956.75</v>
      </c>
      <c r="J33" s="20">
        <f t="shared" si="2"/>
        <v>1.30297702023541</v>
      </c>
    </row>
    <row r="34" spans="1:10" ht="12.75">
      <c r="A34" s="1" t="s">
        <v>35</v>
      </c>
      <c r="B34" s="3">
        <f>291135.95+4279.3-2414.62</f>
        <v>293000.63</v>
      </c>
      <c r="C34" s="3">
        <v>5648.68</v>
      </c>
      <c r="D34" s="20">
        <f t="shared" si="0"/>
        <v>1.9278729878498897</v>
      </c>
      <c r="E34" s="3">
        <f>23097.37+1097.85+3637.75+265.32+1-6.93</f>
        <v>28092.359999999997</v>
      </c>
      <c r="F34" s="3">
        <v>107.47</v>
      </c>
      <c r="G34" s="20">
        <f t="shared" si="1"/>
        <v>0.3825595286405272</v>
      </c>
      <c r="H34" s="6">
        <f t="shared" si="3"/>
        <v>321092.99</v>
      </c>
      <c r="I34" s="6">
        <f t="shared" si="4"/>
        <v>5756.150000000001</v>
      </c>
      <c r="J34" s="20">
        <f t="shared" si="2"/>
        <v>1.7926738294722662</v>
      </c>
    </row>
    <row r="35" spans="1:10" ht="12.75">
      <c r="A35" s="1" t="s">
        <v>36</v>
      </c>
      <c r="B35" s="3">
        <f>2533531.27+3333.19+9938.63-17500.64</f>
        <v>2529302.4499999997</v>
      </c>
      <c r="C35" s="3">
        <v>60883.62</v>
      </c>
      <c r="D35" s="20">
        <f t="shared" si="0"/>
        <v>2.4071308672476084</v>
      </c>
      <c r="E35" s="3">
        <f>1073166.98+3030.42+537599.7+225933.23+14342.11+5.18+920.15-200.81-256.48-4.5</f>
        <v>1854535.9799999997</v>
      </c>
      <c r="F35" s="3">
        <f>21182.96+150.53+979.91+7.35</f>
        <v>22320.749999999996</v>
      </c>
      <c r="G35" s="20">
        <f t="shared" si="1"/>
        <v>1.203576001798574</v>
      </c>
      <c r="H35" s="6">
        <f t="shared" si="3"/>
        <v>4383838.43</v>
      </c>
      <c r="I35" s="6">
        <f t="shared" si="4"/>
        <v>83204.37</v>
      </c>
      <c r="J35" s="20">
        <f t="shared" si="2"/>
        <v>1.8979798486779542</v>
      </c>
    </row>
    <row r="36" spans="1:10" ht="12.75">
      <c r="A36" s="1" t="s">
        <v>37</v>
      </c>
      <c r="B36" s="3">
        <f>525732.72+3533.49+214.72-1916.7</f>
        <v>527564.23</v>
      </c>
      <c r="C36" s="3">
        <v>18501.65</v>
      </c>
      <c r="D36" s="20">
        <f t="shared" si="0"/>
        <v>3.506994778626292</v>
      </c>
      <c r="E36" s="3">
        <f>26397.27+3644.06+1799.43+24.68-627.57-0.05</f>
        <v>31237.820000000003</v>
      </c>
      <c r="F36" s="3">
        <f>2019.31+22.82</f>
        <v>2042.1299999999999</v>
      </c>
      <c r="G36" s="20">
        <f t="shared" si="1"/>
        <v>6.537364002993806</v>
      </c>
      <c r="H36" s="6">
        <f t="shared" si="3"/>
        <v>558802.0499999999</v>
      </c>
      <c r="I36" s="6">
        <f t="shared" si="4"/>
        <v>20543.780000000002</v>
      </c>
      <c r="J36" s="20">
        <f t="shared" si="2"/>
        <v>3.676396677499663</v>
      </c>
    </row>
    <row r="37" spans="1:10" ht="12.75">
      <c r="A37" s="1" t="s">
        <v>38</v>
      </c>
      <c r="B37" s="3">
        <f>144984.01+151.28+2458.75+46.48-1864.25</f>
        <v>145776.27000000002</v>
      </c>
      <c r="C37" s="3">
        <v>4455.2</v>
      </c>
      <c r="D37" s="20">
        <f t="shared" si="0"/>
        <v>3.0561901467227823</v>
      </c>
      <c r="E37" s="3">
        <f>7662.56+594.09+8.45-46.54-1.67</f>
        <v>8216.89</v>
      </c>
      <c r="F37" s="3">
        <f>119.83+0.21</f>
        <v>120.03999999999999</v>
      </c>
      <c r="G37" s="20">
        <f t="shared" si="1"/>
        <v>1.460893355028484</v>
      </c>
      <c r="H37" s="6">
        <f t="shared" si="3"/>
        <v>153993.16000000003</v>
      </c>
      <c r="I37" s="6">
        <f t="shared" si="4"/>
        <v>4575.24</v>
      </c>
      <c r="J37" s="20">
        <f t="shared" si="2"/>
        <v>2.971067026613389</v>
      </c>
    </row>
    <row r="38" spans="1:10" ht="12.75">
      <c r="A38" s="1" t="s">
        <v>39</v>
      </c>
      <c r="B38" s="3">
        <f>437565.24+1809.76+348.04-2981.44</f>
        <v>436741.6</v>
      </c>
      <c r="C38" s="3">
        <v>19612.22</v>
      </c>
      <c r="D38" s="20">
        <f t="shared" si="0"/>
        <v>4.490577494793261</v>
      </c>
      <c r="E38" s="3">
        <f>26572.73+1040.87+6220.66+0.13+0.06</f>
        <v>33834.44999999999</v>
      </c>
      <c r="F38" s="3">
        <f>458.01+1.9</f>
        <v>459.90999999999997</v>
      </c>
      <c r="G38" s="20">
        <f t="shared" si="1"/>
        <v>1.3592950380455426</v>
      </c>
      <c r="H38" s="6">
        <f t="shared" si="3"/>
        <v>470576.05</v>
      </c>
      <c r="I38" s="6">
        <f t="shared" si="4"/>
        <v>20072.13</v>
      </c>
      <c r="J38" s="20">
        <f t="shared" si="2"/>
        <v>4.2654380731871075</v>
      </c>
    </row>
    <row r="39" spans="1:10" ht="12.75">
      <c r="A39" s="1" t="s">
        <v>40</v>
      </c>
      <c r="B39" s="3">
        <f>26536723.92+3500.3+1897.62+5800.79+8.55-18992.51</f>
        <v>26528938.67</v>
      </c>
      <c r="C39" s="3">
        <v>615431.56</v>
      </c>
      <c r="D39" s="20">
        <f t="shared" si="0"/>
        <v>2.3198499105279136</v>
      </c>
      <c r="E39" s="3">
        <f>4424703.2+481.09+613362.34+1739+494279.78+20296.69+7483.66+11859.43-21192.34-4353.63-93.82</f>
        <v>5548565.4</v>
      </c>
      <c r="F39" s="3">
        <f>44426.03+1741.13+4370.73+45+2.59</f>
        <v>50585.479999999996</v>
      </c>
      <c r="G39" s="20">
        <f t="shared" si="1"/>
        <v>0.9116857485360088</v>
      </c>
      <c r="H39" s="6">
        <f t="shared" si="3"/>
        <v>32077504.07</v>
      </c>
      <c r="I39" s="6">
        <f t="shared" si="4"/>
        <v>666017.04</v>
      </c>
      <c r="J39" s="20">
        <f t="shared" si="2"/>
        <v>2.0762745085983245</v>
      </c>
    </row>
    <row r="40" spans="1:10" ht="12.75">
      <c r="A40" s="1" t="s">
        <v>41</v>
      </c>
      <c r="B40" s="15">
        <f>531841.63+38.31+160.82+218.5-2713.4</f>
        <v>529545.86</v>
      </c>
      <c r="C40" s="15">
        <v>9502.49</v>
      </c>
      <c r="D40" s="19">
        <f t="shared" si="0"/>
        <v>1.794460256945451</v>
      </c>
      <c r="E40" s="15">
        <f>71035.85+43900.29+16594.82+45.25+14.91</f>
        <v>131591.12000000002</v>
      </c>
      <c r="F40" s="15">
        <f>446.11+295.51</f>
        <v>741.62</v>
      </c>
      <c r="G40" s="19">
        <f t="shared" si="1"/>
        <v>0.5635790621738</v>
      </c>
      <c r="H40" s="16">
        <f t="shared" si="3"/>
        <v>661136.98</v>
      </c>
      <c r="I40" s="16">
        <f t="shared" si="4"/>
        <v>10244.11</v>
      </c>
      <c r="J40" s="19">
        <f t="shared" si="2"/>
        <v>1.5494686139020692</v>
      </c>
    </row>
    <row r="41" spans="1:10" ht="12.75">
      <c r="A41" s="1" t="s">
        <v>42</v>
      </c>
      <c r="B41" s="3">
        <f>1057356.61+213.5+309113.23-7285.28</f>
        <v>1359398.06</v>
      </c>
      <c r="C41" s="3">
        <v>120451.06</v>
      </c>
      <c r="D41" s="20">
        <f t="shared" si="0"/>
        <v>8.860617323523325</v>
      </c>
      <c r="E41" s="3">
        <f>720601.64+9982.75+46987.48+7.19-709.42</f>
        <v>776869.6399999999</v>
      </c>
      <c r="F41" s="3">
        <f>74133.54+565.35</f>
        <v>74698.89</v>
      </c>
      <c r="G41" s="20">
        <f t="shared" si="1"/>
        <v>9.615369960911332</v>
      </c>
      <c r="H41" s="6">
        <f t="shared" si="3"/>
        <v>2136267.7</v>
      </c>
      <c r="I41" s="6">
        <f t="shared" si="4"/>
        <v>195149.95</v>
      </c>
      <c r="J41" s="20">
        <f t="shared" si="2"/>
        <v>9.135088734431552</v>
      </c>
    </row>
    <row r="42" spans="1:10" ht="12.75">
      <c r="A42" s="1" t="s">
        <v>43</v>
      </c>
      <c r="B42" s="15">
        <f>3353861.26+114.92+669.13+619.34-2943.76</f>
        <v>3352320.8899999997</v>
      </c>
      <c r="C42" s="15">
        <f>84877.37+78.37</f>
        <v>84955.73999999999</v>
      </c>
      <c r="D42" s="19">
        <f t="shared" si="0"/>
        <v>2.534236512185443</v>
      </c>
      <c r="E42" s="15">
        <f>545239.51+230138.67+69643.47+724.56+23.47+16142.66+93141.05+9817.13-807.93-172.2</f>
        <v>963890.3900000001</v>
      </c>
      <c r="F42" s="15">
        <f>7309.59+3220.66+68.35</f>
        <v>10598.6</v>
      </c>
      <c r="G42" s="19">
        <f t="shared" si="1"/>
        <v>1.0995648581992812</v>
      </c>
      <c r="H42" s="16">
        <f t="shared" si="3"/>
        <v>4316211.279999999</v>
      </c>
      <c r="I42" s="16">
        <f t="shared" si="4"/>
        <v>95554.34</v>
      </c>
      <c r="J42" s="19">
        <f t="shared" si="2"/>
        <v>2.2138476038642856</v>
      </c>
    </row>
    <row r="43" spans="1:10" ht="12.75">
      <c r="A43" s="1" t="s">
        <v>44</v>
      </c>
      <c r="B43" s="3">
        <f>231591.61+38.31-1980.8</f>
        <v>229649.12</v>
      </c>
      <c r="C43" s="3">
        <v>4964.09</v>
      </c>
      <c r="D43" s="20">
        <f t="shared" si="0"/>
        <v>2.1615976582013467</v>
      </c>
      <c r="E43" s="3">
        <f>61335.65+55203.02+28131.17+3679.83</f>
        <v>148349.66999999998</v>
      </c>
      <c r="F43" s="3">
        <v>3.04</v>
      </c>
      <c r="G43" s="20">
        <f t="shared" si="1"/>
        <v>0.0020492125125724917</v>
      </c>
      <c r="H43" s="6">
        <f t="shared" si="3"/>
        <v>377998.79</v>
      </c>
      <c r="I43" s="6">
        <f t="shared" si="4"/>
        <v>4967.13</v>
      </c>
      <c r="J43" s="20">
        <f t="shared" si="2"/>
        <v>1.3140597619373333</v>
      </c>
    </row>
    <row r="44" spans="1:10" ht="12.75">
      <c r="A44" s="1" t="s">
        <v>45</v>
      </c>
      <c r="B44" s="17">
        <f>476015.06+4478.46+687.35+7122.37-2069.85</f>
        <v>486233.39</v>
      </c>
      <c r="C44" s="15">
        <f>8365.78+1012.5</f>
        <v>9378.28</v>
      </c>
      <c r="D44" s="19">
        <f t="shared" si="0"/>
        <v>1.928761000967046</v>
      </c>
      <c r="E44" s="15">
        <f>74298.4+426631.08+66906.94+3808.3+1.36-661.25-47.09</f>
        <v>570937.74</v>
      </c>
      <c r="F44" s="15">
        <f>73.61+4.98</f>
        <v>78.59</v>
      </c>
      <c r="G44" s="19">
        <f t="shared" si="1"/>
        <v>0.013765073578775858</v>
      </c>
      <c r="H44" s="16">
        <f t="shared" si="3"/>
        <v>1057171.13</v>
      </c>
      <c r="I44" s="16">
        <f t="shared" si="4"/>
        <v>9456.87</v>
      </c>
      <c r="J44" s="19">
        <f t="shared" si="2"/>
        <v>0.8945448595441687</v>
      </c>
    </row>
    <row r="45" spans="1:10" ht="12.75">
      <c r="A45" s="1" t="s">
        <v>46</v>
      </c>
      <c r="B45" s="15">
        <f>801448.95+123.71+98.83+284.26-3012.91</f>
        <v>798942.8399999999</v>
      </c>
      <c r="C45" s="15">
        <v>20077.78</v>
      </c>
      <c r="D45" s="19">
        <f t="shared" si="0"/>
        <v>2.5130433611495913</v>
      </c>
      <c r="E45" s="15">
        <f>29552.52+8192.51+3603.57+138.77+0.73-17.3-0.6</f>
        <v>41470.2</v>
      </c>
      <c r="F45" s="15">
        <f>2532.86+37.44+9.6</f>
        <v>2579.9</v>
      </c>
      <c r="G45" s="19">
        <f t="shared" si="1"/>
        <v>6.221093701019045</v>
      </c>
      <c r="H45" s="16">
        <f t="shared" si="3"/>
        <v>840413.0399999998</v>
      </c>
      <c r="I45" s="16">
        <f t="shared" si="4"/>
        <v>22657.68</v>
      </c>
      <c r="J45" s="19">
        <f t="shared" si="2"/>
        <v>2.69601718697749</v>
      </c>
    </row>
    <row r="46" spans="1:10" ht="12.75">
      <c r="A46" s="1" t="s">
        <v>47</v>
      </c>
      <c r="B46" s="3">
        <f>1178577.85+24.4+90-1196.28</f>
        <v>1177495.97</v>
      </c>
      <c r="C46" s="3">
        <v>15575.2</v>
      </c>
      <c r="D46" s="20">
        <f t="shared" si="0"/>
        <v>1.3227391343003918</v>
      </c>
      <c r="E46" s="3">
        <f>112803.08+445.09+67339.91+35136.03-8244.83</f>
        <v>207479.28000000003</v>
      </c>
      <c r="F46" s="3">
        <f>2161.28+87.91</f>
        <v>2249.19</v>
      </c>
      <c r="G46" s="20">
        <f t="shared" si="1"/>
        <v>1.0840552367446041</v>
      </c>
      <c r="H46" s="6">
        <f t="shared" si="3"/>
        <v>1384975.25</v>
      </c>
      <c r="I46" s="6">
        <f t="shared" si="4"/>
        <v>17824.39</v>
      </c>
      <c r="J46" s="20">
        <f t="shared" si="2"/>
        <v>1.2869825652119053</v>
      </c>
    </row>
    <row r="47" spans="1:10" ht="12.75">
      <c r="A47" s="1" t="s">
        <v>48</v>
      </c>
      <c r="B47" s="3">
        <f>1432036.69+385.63+870.9-4823.94</f>
        <v>1428469.2799999998</v>
      </c>
      <c r="C47" s="4">
        <v>21680.6</v>
      </c>
      <c r="D47" s="20">
        <f t="shared" si="0"/>
        <v>1.5177505252335566</v>
      </c>
      <c r="E47" s="3">
        <f>212098.81+59669.17+41139.96+410.34-433.64-180.25</f>
        <v>312704.39</v>
      </c>
      <c r="F47" s="4">
        <f>3433.87+669.64</f>
        <v>4103.51</v>
      </c>
      <c r="G47" s="20">
        <f t="shared" si="1"/>
        <v>1.3122649157563793</v>
      </c>
      <c r="H47" s="6">
        <f t="shared" si="3"/>
        <v>1741173.67</v>
      </c>
      <c r="I47" s="6">
        <f t="shared" si="4"/>
        <v>25784.11</v>
      </c>
      <c r="J47" s="20">
        <f t="shared" si="2"/>
        <v>1.480846537267015</v>
      </c>
    </row>
    <row r="48" spans="1:10" ht="12.75">
      <c r="A48" s="1" t="s">
        <v>49</v>
      </c>
      <c r="B48" s="3">
        <f>1072406.86+2724.31+421.69+2017.5-3861.82</f>
        <v>1073708.54</v>
      </c>
      <c r="C48" s="3">
        <v>30593.19</v>
      </c>
      <c r="D48" s="20">
        <f t="shared" si="0"/>
        <v>2.8493011706882765</v>
      </c>
      <c r="E48" s="3">
        <f>141206.19+107098.43+46870.95+108.31+0.37-1078.55-551.73-2.37</f>
        <v>293651.60000000003</v>
      </c>
      <c r="F48" s="3">
        <f>475.78+11.37</f>
        <v>487.15</v>
      </c>
      <c r="G48" s="20">
        <f t="shared" si="1"/>
        <v>0.16589386878872783</v>
      </c>
      <c r="H48" s="6">
        <f t="shared" si="3"/>
        <v>1367360.1400000001</v>
      </c>
      <c r="I48" s="6">
        <f t="shared" si="4"/>
        <v>31080.34</v>
      </c>
      <c r="J48" s="20">
        <f t="shared" si="2"/>
        <v>2.2730178459056147</v>
      </c>
    </row>
    <row r="49" spans="1:10" ht="12.75">
      <c r="A49" s="1" t="s">
        <v>50</v>
      </c>
      <c r="B49" s="3">
        <f>354399.37+1.22+5106.09+970.33-3804.57</f>
        <v>356672.44</v>
      </c>
      <c r="C49" s="3">
        <v>11750.75</v>
      </c>
      <c r="D49" s="20">
        <f t="shared" si="0"/>
        <v>3.294549475143075</v>
      </c>
      <c r="E49" s="3">
        <f>26042.64+4904.53+2900.91+363.22+10.91</f>
        <v>34222.21000000001</v>
      </c>
      <c r="F49" s="3">
        <v>35.7</v>
      </c>
      <c r="G49" s="20">
        <f t="shared" si="1"/>
        <v>0.1043182190746886</v>
      </c>
      <c r="H49" s="6">
        <f t="shared" si="3"/>
        <v>390894.65</v>
      </c>
      <c r="I49" s="6">
        <f t="shared" si="4"/>
        <v>11786.45</v>
      </c>
      <c r="J49" s="20">
        <f t="shared" si="2"/>
        <v>3.015249761028963</v>
      </c>
    </row>
    <row r="50" spans="1:10" ht="12.75">
      <c r="A50" s="1" t="s">
        <v>51</v>
      </c>
      <c r="B50" s="15">
        <v>1478109</v>
      </c>
      <c r="C50" s="15">
        <v>72550</v>
      </c>
      <c r="D50" s="19">
        <f t="shared" si="0"/>
        <v>4.9082983731240395</v>
      </c>
      <c r="E50" s="15">
        <f>192819.62+652.55+2344.28+144993.66+69715.74+20.44+28.11+217.69+17.25+2.31+1.1-302.27-5.79-93.25-35.7</f>
        <v>410375.73999999993</v>
      </c>
      <c r="F50" s="15">
        <f>9822.2+3.79+537.96</f>
        <v>10363.95</v>
      </c>
      <c r="G50" s="19">
        <f>F50/E50*100</f>
        <v>2.525478236116005</v>
      </c>
      <c r="H50" s="16">
        <f t="shared" si="3"/>
        <v>1888484.74</v>
      </c>
      <c r="I50" s="16">
        <f t="shared" si="4"/>
        <v>82913.95</v>
      </c>
      <c r="J50" s="19">
        <f t="shared" si="2"/>
        <v>4.390501455680282</v>
      </c>
    </row>
    <row r="51" spans="1:10" ht="12.75">
      <c r="A51" s="1" t="s">
        <v>52</v>
      </c>
      <c r="B51" s="15">
        <f>419958.78+197.64+86.86+1196.63+38200-1286.43</f>
        <v>458353.48000000004</v>
      </c>
      <c r="C51" s="15">
        <v>3322.79</v>
      </c>
      <c r="D51" s="19">
        <f t="shared" si="0"/>
        <v>0.7249404978882237</v>
      </c>
      <c r="E51" s="15">
        <f>307222.6+741982.87+90938.66+76.5+7.02-45.25</f>
        <v>1140182.4</v>
      </c>
      <c r="F51" s="15">
        <f>921.43+27.57</f>
        <v>949</v>
      </c>
      <c r="G51" s="19">
        <f aca="true" t="shared" si="5" ref="G51:G114">F51/E51*100</f>
        <v>0.08323229686758891</v>
      </c>
      <c r="H51" s="16">
        <f t="shared" si="3"/>
        <v>1598535.88</v>
      </c>
      <c r="I51" s="16">
        <f t="shared" si="4"/>
        <v>4271.79</v>
      </c>
      <c r="J51" s="19">
        <f t="shared" si="2"/>
        <v>0.2672314117841384</v>
      </c>
    </row>
    <row r="52" spans="1:10" ht="12.75">
      <c r="A52" s="1" t="s">
        <v>53</v>
      </c>
      <c r="B52" s="3">
        <f>5953705.79+3749.3+1279.94+543.83+787.5-21904.05</f>
        <v>5938162.3100000005</v>
      </c>
      <c r="C52" s="3">
        <v>114226.88</v>
      </c>
      <c r="D52" s="20">
        <f t="shared" si="0"/>
        <v>1.923606564401908</v>
      </c>
      <c r="E52" s="3">
        <f>918961.62+6.55+627268.96+172547.5+2884.08-415.36-79.8</f>
        <v>1721173.5499999998</v>
      </c>
      <c r="F52" s="3">
        <f>10704.59+227.55</f>
        <v>10932.14</v>
      </c>
      <c r="G52" s="20">
        <f t="shared" si="5"/>
        <v>0.6351561700445606</v>
      </c>
      <c r="H52" s="6">
        <f t="shared" si="3"/>
        <v>7659335.86</v>
      </c>
      <c r="I52" s="6">
        <f t="shared" si="4"/>
        <v>125159.02</v>
      </c>
      <c r="J52" s="20">
        <f t="shared" si="2"/>
        <v>1.6340714428470045</v>
      </c>
    </row>
    <row r="53" spans="1:10" ht="12.75">
      <c r="A53" s="1" t="s">
        <v>54</v>
      </c>
      <c r="B53" s="3">
        <f>666690.82+76295.03+839.18-4368.65</f>
        <v>739456.38</v>
      </c>
      <c r="C53" s="3">
        <v>51735.35</v>
      </c>
      <c r="D53" s="20">
        <f t="shared" si="0"/>
        <v>6.996403222594415</v>
      </c>
      <c r="E53" s="3">
        <f>687416.15+55802.14+19116.8+55.14</f>
        <v>762390.2300000001</v>
      </c>
      <c r="F53" s="3">
        <f>12938.3+128.13+579.01</f>
        <v>13645.439999999999</v>
      </c>
      <c r="G53" s="20">
        <f t="shared" si="5"/>
        <v>1.7898235658135333</v>
      </c>
      <c r="H53" s="6">
        <f t="shared" si="3"/>
        <v>1501846.61</v>
      </c>
      <c r="I53" s="6">
        <f t="shared" si="4"/>
        <v>65380.78999999999</v>
      </c>
      <c r="J53" s="20">
        <f t="shared" si="2"/>
        <v>4.353360027892595</v>
      </c>
    </row>
    <row r="54" spans="1:10" ht="12.75">
      <c r="A54" s="1" t="s">
        <v>55</v>
      </c>
      <c r="B54" s="15">
        <f>930877.74+154.33+54.9-2551.02</f>
        <v>928535.95</v>
      </c>
      <c r="C54" s="15">
        <v>12126.72</v>
      </c>
      <c r="D54" s="19">
        <f t="shared" si="0"/>
        <v>1.3060043609512373</v>
      </c>
      <c r="E54" s="15">
        <f>125200.64+4.24+128565.28+18099.28+456.33+2.51-1101.1-2.05</f>
        <v>271225.13000000006</v>
      </c>
      <c r="F54" s="15">
        <f>1168.14+221.98</f>
        <v>1390.1200000000001</v>
      </c>
      <c r="G54" s="19">
        <f t="shared" si="5"/>
        <v>0.5125336284288995</v>
      </c>
      <c r="H54" s="16">
        <f t="shared" si="3"/>
        <v>1199761.08</v>
      </c>
      <c r="I54" s="16">
        <f t="shared" si="4"/>
        <v>13516.84</v>
      </c>
      <c r="J54" s="19">
        <f t="shared" si="2"/>
        <v>1.1266276448974324</v>
      </c>
    </row>
    <row r="55" spans="1:10" ht="12.75">
      <c r="A55" s="1" t="s">
        <v>56</v>
      </c>
      <c r="B55" s="3">
        <f>682804.35+87.23+2133.87-2835.55</f>
        <v>682189.8999999999</v>
      </c>
      <c r="C55" s="3">
        <v>18175.63</v>
      </c>
      <c r="D55" s="20">
        <f t="shared" si="0"/>
        <v>2.66430652227481</v>
      </c>
      <c r="E55" s="3">
        <f>74474.97+276.53+202406.73+124.1+31182.55+148.76+303.76+0.57-471.07-148.76</f>
        <v>308298.13999999996</v>
      </c>
      <c r="F55" s="3">
        <f>708.48+567.91+13.93</f>
        <v>1290.32</v>
      </c>
      <c r="G55" s="20">
        <f t="shared" si="5"/>
        <v>0.41852993339499234</v>
      </c>
      <c r="H55" s="6">
        <f t="shared" si="3"/>
        <v>990488.0399999998</v>
      </c>
      <c r="I55" s="6">
        <f t="shared" si="4"/>
        <v>19465.95</v>
      </c>
      <c r="J55" s="20">
        <f t="shared" si="2"/>
        <v>1.9652887479590369</v>
      </c>
    </row>
    <row r="56" spans="1:10" ht="12.75">
      <c r="A56" s="1" t="s">
        <v>57</v>
      </c>
      <c r="B56" s="3">
        <f>2310659.05+146.89+40290.28+5650.26+14496.05-4478.9</f>
        <v>2366763.6299999994</v>
      </c>
      <c r="C56" s="3">
        <v>50370.63</v>
      </c>
      <c r="D56" s="20">
        <f t="shared" si="0"/>
        <v>2.12824928360083</v>
      </c>
      <c r="E56" s="3">
        <f>652431.98+456737.22+125604.21+10478.6+29.78-6.67-601.07</f>
        <v>1244674.05</v>
      </c>
      <c r="F56" s="3">
        <f>11355.65+6011.79+2375.54+38.26</f>
        <v>19781.239999999998</v>
      </c>
      <c r="G56" s="20">
        <f t="shared" si="5"/>
        <v>1.5892707010321294</v>
      </c>
      <c r="H56" s="6">
        <f t="shared" si="3"/>
        <v>3611437.6799999997</v>
      </c>
      <c r="I56" s="6">
        <f t="shared" si="4"/>
        <v>70151.87</v>
      </c>
      <c r="J56" s="20">
        <f t="shared" si="2"/>
        <v>1.9424915010578283</v>
      </c>
    </row>
    <row r="57" spans="1:10" ht="12.75">
      <c r="A57" s="1" t="s">
        <v>58</v>
      </c>
      <c r="B57" s="15">
        <f>812218.64+60.27+276.98+272.67-3864.35</f>
        <v>808964.2100000001</v>
      </c>
      <c r="C57" s="15">
        <v>17394.88</v>
      </c>
      <c r="D57" s="19">
        <f t="shared" si="0"/>
        <v>2.1502657082938192</v>
      </c>
      <c r="E57" s="15">
        <f>72058.91+53.94+46734.48+13927.28+247.41+212.5+15.17+1.81-1248.89</f>
        <v>132002.61000000002</v>
      </c>
      <c r="F57" s="15">
        <f>3764.07+217.54+304.42+162.96</f>
        <v>4448.99</v>
      </c>
      <c r="G57" s="19">
        <f t="shared" si="5"/>
        <v>3.370380328085937</v>
      </c>
      <c r="H57" s="16">
        <f t="shared" si="3"/>
        <v>940966.8200000001</v>
      </c>
      <c r="I57" s="16">
        <f t="shared" si="4"/>
        <v>21843.870000000003</v>
      </c>
      <c r="J57" s="19">
        <f t="shared" si="2"/>
        <v>2.3214282943579247</v>
      </c>
    </row>
    <row r="58" spans="1:10" ht="12.75">
      <c r="A58" s="1" t="s">
        <v>59</v>
      </c>
      <c r="B58" s="3">
        <f>177406.72+99.26+52.29+133.44-363.98</f>
        <v>177327.73</v>
      </c>
      <c r="C58" s="3">
        <v>3041.91</v>
      </c>
      <c r="D58" s="20">
        <f t="shared" si="0"/>
        <v>1.7154169852622598</v>
      </c>
      <c r="E58" s="8">
        <f>31545.51+797.47+3359.03+380.34+10.12</f>
        <v>36092.47</v>
      </c>
      <c r="F58" s="3">
        <v>2.3</v>
      </c>
      <c r="G58" s="20">
        <f t="shared" si="5"/>
        <v>0.006372520362280552</v>
      </c>
      <c r="H58" s="6">
        <f t="shared" si="3"/>
        <v>213420.2</v>
      </c>
      <c r="I58" s="6">
        <f t="shared" si="4"/>
        <v>3044.21</v>
      </c>
      <c r="J58" s="20">
        <f t="shared" si="2"/>
        <v>1.4263926282516837</v>
      </c>
    </row>
    <row r="59" spans="1:10" ht="12.75">
      <c r="A59" s="1" t="s">
        <v>60</v>
      </c>
      <c r="B59" s="4">
        <f>1866228.72+513.01+13813.45+3711.18-7935.01</f>
        <v>1876331.3499999999</v>
      </c>
      <c r="C59" s="3">
        <f>34932.46+65.88</f>
        <v>34998.34</v>
      </c>
      <c r="D59" s="20">
        <f t="shared" si="0"/>
        <v>1.865253703723492</v>
      </c>
      <c r="E59" s="4">
        <f>726315.9+40982.8+196252.08+684.34+75761.93+2603.42+8.17-35.43-909.36</f>
        <v>1041663.8500000001</v>
      </c>
      <c r="F59" s="3">
        <f>4267.68+468.54+361.66</f>
        <v>5097.88</v>
      </c>
      <c r="G59" s="20">
        <f t="shared" si="5"/>
        <v>0.48939780333166016</v>
      </c>
      <c r="H59" s="6">
        <f t="shared" si="3"/>
        <v>2917995.2</v>
      </c>
      <c r="I59" s="6">
        <f t="shared" si="4"/>
        <v>40096.219999999994</v>
      </c>
      <c r="J59" s="20">
        <f t="shared" si="2"/>
        <v>1.3741016434845401</v>
      </c>
    </row>
    <row r="60" spans="1:10" ht="12.75">
      <c r="A60" s="1" t="s">
        <v>61</v>
      </c>
      <c r="B60" s="3">
        <f>280647.81+651.72+143.63-2866.68</f>
        <v>278576.48</v>
      </c>
      <c r="C60" s="3">
        <v>11204.72</v>
      </c>
      <c r="D60" s="20">
        <f t="shared" si="0"/>
        <v>4.022134244786208</v>
      </c>
      <c r="E60" s="3">
        <f>30297.19+8891.16+3222.08+0.55</f>
        <v>42410.98</v>
      </c>
      <c r="F60" s="3">
        <f>150.99+11.05</f>
        <v>162.04000000000002</v>
      </c>
      <c r="G60" s="20">
        <f t="shared" si="5"/>
        <v>0.3820708693833531</v>
      </c>
      <c r="H60" s="6">
        <f t="shared" si="3"/>
        <v>320987.45999999996</v>
      </c>
      <c r="I60" s="6">
        <f t="shared" si="4"/>
        <v>11366.76</v>
      </c>
      <c r="J60" s="20">
        <f t="shared" si="2"/>
        <v>3.5411850668558835</v>
      </c>
    </row>
    <row r="61" spans="1:10" ht="12.75">
      <c r="A61" s="1" t="s">
        <v>62</v>
      </c>
      <c r="B61" s="3">
        <f>61941213.3+559.64+56063.07+19717.91-323834.59</f>
        <v>61693719.32999999</v>
      </c>
      <c r="C61" s="4">
        <f>1456170.04+1756.47</f>
        <v>1457926.51</v>
      </c>
      <c r="D61" s="20">
        <f t="shared" si="0"/>
        <v>2.3631684486414968</v>
      </c>
      <c r="E61" s="3">
        <f>10652082.37+21903.18+2669132.89+108004.25+1459348.25+14875.36+34895.35+815.74+20813.74-116965.64-4167.77-9077.13-386.79-355.49</f>
        <v>14850918.309999999</v>
      </c>
      <c r="F61" s="3">
        <f>154106.93+16809.6+14909.42+251.68+1.33</f>
        <v>186078.96</v>
      </c>
      <c r="G61" s="20">
        <f>F61/E61*100</f>
        <v>1.2529794866267767</v>
      </c>
      <c r="H61" s="6">
        <f t="shared" si="3"/>
        <v>76544637.63999999</v>
      </c>
      <c r="I61" s="6">
        <f t="shared" si="4"/>
        <v>1644005.47</v>
      </c>
      <c r="J61" s="20">
        <f t="shared" si="2"/>
        <v>2.1477735354003307</v>
      </c>
    </row>
    <row r="62" spans="1:10" ht="12.75">
      <c r="A62" s="1" t="s">
        <v>63</v>
      </c>
      <c r="B62" s="3">
        <f>3889276.44+223.96+504.5+942.42-9276.15</f>
        <v>3881671.17</v>
      </c>
      <c r="C62" s="3">
        <v>107816.27</v>
      </c>
      <c r="D62" s="20">
        <f t="shared" si="0"/>
        <v>2.777573505794928</v>
      </c>
      <c r="E62" s="3">
        <f>406557.92+117.52+165691.01+73245.04+5.63+2467.92+28.81-382.26-1105.95</f>
        <v>646625.6400000001</v>
      </c>
      <c r="F62" s="3">
        <f>4743.19+311.47</f>
        <v>5054.66</v>
      </c>
      <c r="G62" s="20">
        <f>F62/E62*100</f>
        <v>0.7816980471111536</v>
      </c>
      <c r="H62" s="6">
        <f t="shared" si="3"/>
        <v>4528296.8100000005</v>
      </c>
      <c r="I62" s="6">
        <f t="shared" si="4"/>
        <v>112870.93000000001</v>
      </c>
      <c r="J62" s="20">
        <f t="shared" si="2"/>
        <v>2.4925691653149387</v>
      </c>
    </row>
    <row r="63" spans="1:10" ht="12.75">
      <c r="A63" s="1" t="s">
        <v>64</v>
      </c>
      <c r="B63" s="3">
        <f>772163.08+29725.4+1057.82-5610.26</f>
        <v>797336.0399999999</v>
      </c>
      <c r="C63" s="3">
        <v>48229.66</v>
      </c>
      <c r="D63" s="20">
        <f t="shared" si="0"/>
        <v>6.0488498676166715</v>
      </c>
      <c r="E63" s="4">
        <f>173230.61+478.14+3583.01+22864.73+52.35-0.17-319.5-24.6</f>
        <v>199864.57</v>
      </c>
      <c r="F63" s="3">
        <f>6213.21+197.17+7.5</f>
        <v>6417.88</v>
      </c>
      <c r="G63" s="20">
        <f t="shared" si="5"/>
        <v>3.211114406120104</v>
      </c>
      <c r="H63" s="6">
        <f t="shared" si="3"/>
        <v>997200.6099999999</v>
      </c>
      <c r="I63" s="6">
        <f t="shared" si="4"/>
        <v>54647.54</v>
      </c>
      <c r="J63" s="20">
        <f t="shared" si="2"/>
        <v>5.480094922926291</v>
      </c>
    </row>
    <row r="64" spans="1:10" ht="12.75">
      <c r="A64" s="1" t="s">
        <v>65</v>
      </c>
      <c r="B64" s="15">
        <f>11501902.01+142.01-14228.01</f>
        <v>11487816.01</v>
      </c>
      <c r="C64" s="15">
        <v>156907.43</v>
      </c>
      <c r="D64" s="19">
        <f t="shared" si="0"/>
        <v>1.3658595320765414</v>
      </c>
      <c r="E64" s="15">
        <f>1585002.36+666.96+417972.59+3900.61+219150.37+2502.59+74.27-1318.3-11.31</f>
        <v>2227940.14</v>
      </c>
      <c r="F64" s="15">
        <v>35716.44</v>
      </c>
      <c r="G64" s="19">
        <f t="shared" si="5"/>
        <v>1.603114884406185</v>
      </c>
      <c r="H64" s="16">
        <f t="shared" si="3"/>
        <v>13715756.15</v>
      </c>
      <c r="I64" s="16">
        <f t="shared" si="4"/>
        <v>192623.87</v>
      </c>
      <c r="J64" s="19">
        <f t="shared" si="2"/>
        <v>1.4043984735030448</v>
      </c>
    </row>
    <row r="65" spans="1:10" ht="12.75">
      <c r="A65" s="1" t="s">
        <v>66</v>
      </c>
      <c r="B65" s="3">
        <f>332225.97+314470.24+154.02-5220.22</f>
        <v>641630.01</v>
      </c>
      <c r="C65" s="3">
        <v>14005.6</v>
      </c>
      <c r="D65" s="20">
        <f t="shared" si="0"/>
        <v>2.182815607393426</v>
      </c>
      <c r="E65" s="3">
        <f>705538.51+41141.71+4235.25-9</f>
        <v>750906.47</v>
      </c>
      <c r="F65" s="3">
        <f>2223.29+0.06</f>
        <v>2223.35</v>
      </c>
      <c r="G65" s="20">
        <f t="shared" si="5"/>
        <v>0.2960888058402267</v>
      </c>
      <c r="H65" s="6">
        <f t="shared" si="3"/>
        <v>1392536.48</v>
      </c>
      <c r="I65" s="6">
        <f t="shared" si="4"/>
        <v>16228.95</v>
      </c>
      <c r="J65" s="20">
        <f t="shared" si="2"/>
        <v>1.1654236878591506</v>
      </c>
    </row>
    <row r="66" spans="1:10" ht="12.75">
      <c r="A66" s="1" t="s">
        <v>67</v>
      </c>
      <c r="B66" s="3">
        <f>962354.97+22.2+92285.98+6576.76-10185.25</f>
        <v>1051054.66</v>
      </c>
      <c r="C66" s="4">
        <v>58330.93</v>
      </c>
      <c r="D66" s="20">
        <f t="shared" si="0"/>
        <v>5.5497522840534295</v>
      </c>
      <c r="E66" s="3">
        <f>159945.75+17.37+45965+29165.7+2029.04-4488.62-2029.04</f>
        <v>230605.2</v>
      </c>
      <c r="F66" s="4">
        <f>10051+1281.44</f>
        <v>11332.44</v>
      </c>
      <c r="G66" s="20">
        <f t="shared" si="5"/>
        <v>4.9142170254616975</v>
      </c>
      <c r="H66" s="6">
        <f t="shared" si="3"/>
        <v>1281659.8599999999</v>
      </c>
      <c r="I66" s="6">
        <f t="shared" si="4"/>
        <v>69663.37</v>
      </c>
      <c r="J66" s="20">
        <f t="shared" si="2"/>
        <v>5.435402338339597</v>
      </c>
    </row>
    <row r="67" spans="1:10" ht="12.75">
      <c r="A67" s="1" t="s">
        <v>68</v>
      </c>
      <c r="B67" s="3">
        <f>607253.54+114.92-6872.39</f>
        <v>600496.0700000001</v>
      </c>
      <c r="C67" s="3">
        <f>27726.96+42.7</f>
        <v>27769.66</v>
      </c>
      <c r="D67" s="20">
        <f t="shared" si="0"/>
        <v>4.624453245797262</v>
      </c>
      <c r="E67" s="3">
        <f>42472.26+18462+11201.64+11.43+7.89</f>
        <v>72155.21999999999</v>
      </c>
      <c r="F67" s="3">
        <f>3223.08+125.15+647.69</f>
        <v>3995.92</v>
      </c>
      <c r="G67" s="20">
        <f t="shared" si="5"/>
        <v>5.537949991698453</v>
      </c>
      <c r="H67" s="6">
        <f t="shared" si="3"/>
        <v>672651.29</v>
      </c>
      <c r="I67" s="6">
        <f t="shared" si="4"/>
        <v>31765.58</v>
      </c>
      <c r="J67" s="20">
        <f t="shared" si="2"/>
        <v>4.7224439278188255</v>
      </c>
    </row>
    <row r="68" spans="1:10" ht="12.75">
      <c r="A68" s="1" t="s">
        <v>69</v>
      </c>
      <c r="B68" s="3">
        <v>2559057</v>
      </c>
      <c r="C68" s="3">
        <v>158270</v>
      </c>
      <c r="D68" s="20">
        <f>C68/B68*100</f>
        <v>6.184700067251335</v>
      </c>
      <c r="E68" s="3">
        <f>792646.85+2.25+212631.51+117288.58+706.49+1580.63+35.38-1070.24-790.06-3.75</f>
        <v>1123027.6399999997</v>
      </c>
      <c r="F68" s="3">
        <f>42530.01+12222.7+40.05</f>
        <v>54792.76000000001</v>
      </c>
      <c r="G68" s="20">
        <f t="shared" si="5"/>
        <v>4.879021499417417</v>
      </c>
      <c r="H68" s="6">
        <f t="shared" si="3"/>
        <v>3682084.6399999997</v>
      </c>
      <c r="I68" s="6">
        <f t="shared" si="4"/>
        <v>213062.76</v>
      </c>
      <c r="J68" s="20">
        <f t="shared" si="2"/>
        <v>5.78647100301312</v>
      </c>
    </row>
    <row r="69" spans="1:10" ht="12.75">
      <c r="A69" s="1" t="s">
        <v>70</v>
      </c>
      <c r="B69" s="3">
        <f>490565.79+170.99+30401.43+2851.02-4617.39</f>
        <v>519371.83999999997</v>
      </c>
      <c r="C69" s="3">
        <v>14057.08</v>
      </c>
      <c r="D69" s="20">
        <f t="shared" si="0"/>
        <v>2.70655413277701</v>
      </c>
      <c r="E69" s="4">
        <f>127384.08+5762.58+6926.54+28.15+2.25-28.15</f>
        <v>140075.45</v>
      </c>
      <c r="F69" s="3">
        <f>126.51+62.01</f>
        <v>188.52</v>
      </c>
      <c r="G69" s="20">
        <f t="shared" si="5"/>
        <v>0.13458461136480376</v>
      </c>
      <c r="H69" s="6">
        <f t="shared" si="3"/>
        <v>659447.29</v>
      </c>
      <c r="I69" s="6">
        <f t="shared" si="4"/>
        <v>14245.6</v>
      </c>
      <c r="J69" s="20">
        <f t="shared" si="2"/>
        <v>2.160233306895537</v>
      </c>
    </row>
    <row r="70" spans="1:10" ht="12.75">
      <c r="A70" s="1" t="s">
        <v>71</v>
      </c>
      <c r="B70" s="3">
        <f>199939.99+26973.72+260.48-1562.96</f>
        <v>225611.23</v>
      </c>
      <c r="C70" s="3">
        <v>5636.31</v>
      </c>
      <c r="D70" s="20">
        <f aca="true" t="shared" si="6" ref="D70:D125">C70/B70*100</f>
        <v>2.498240003389902</v>
      </c>
      <c r="E70" s="3">
        <f>40656.14+1029.91+5025.51+19.8</f>
        <v>46731.36000000001</v>
      </c>
      <c r="F70" s="3">
        <f>1314.62+41.58</f>
        <v>1356.1999999999998</v>
      </c>
      <c r="G70" s="20">
        <f t="shared" si="5"/>
        <v>2.9021196900753576</v>
      </c>
      <c r="H70" s="6">
        <f t="shared" si="3"/>
        <v>272342.59</v>
      </c>
      <c r="I70" s="6">
        <f t="shared" si="4"/>
        <v>6992.51</v>
      </c>
      <c r="J70" s="20">
        <f aca="true" t="shared" si="7" ref="J70:J125">I70/H70*100</f>
        <v>2.5675418596848916</v>
      </c>
    </row>
    <row r="71" spans="1:10" ht="12.75">
      <c r="A71" s="1" t="s">
        <v>72</v>
      </c>
      <c r="B71" s="3">
        <f>218728.19+12.2+110303.78+51019.51-52226.52</f>
        <v>327837.16000000003</v>
      </c>
      <c r="C71" s="3">
        <v>16225.3</v>
      </c>
      <c r="D71" s="20">
        <f t="shared" si="6"/>
        <v>4.949194899077334</v>
      </c>
      <c r="E71" s="3">
        <f>241060.44+16.43+13252.74+2098.42+8.16-401.92-69.62</f>
        <v>255964.65</v>
      </c>
      <c r="F71" s="3">
        <f>277.87+75.34</f>
        <v>353.21000000000004</v>
      </c>
      <c r="G71" s="20">
        <f t="shared" si="5"/>
        <v>0.1379917109647758</v>
      </c>
      <c r="H71" s="6">
        <f aca="true" t="shared" si="8" ref="H71:H125">(B71+E71)</f>
        <v>583801.81</v>
      </c>
      <c r="I71" s="6">
        <f aca="true" t="shared" si="9" ref="I71:I125">(C71+F71)</f>
        <v>16578.51</v>
      </c>
      <c r="J71" s="20">
        <f t="shared" si="7"/>
        <v>2.8397496746370137</v>
      </c>
    </row>
    <row r="72" spans="1:10" ht="12.75">
      <c r="A72" s="1" t="s">
        <v>73</v>
      </c>
      <c r="B72" s="3">
        <f>439142.86+31.6+176499.32+265.61-5199.52</f>
        <v>610739.87</v>
      </c>
      <c r="C72" s="3">
        <v>21941.6</v>
      </c>
      <c r="D72" s="20">
        <f t="shared" si="6"/>
        <v>3.5926261044657197</v>
      </c>
      <c r="E72" s="3">
        <f>425861.98+291.94+43065.49+57.14+9456.09+8.07-1983.39-57.14</f>
        <v>476700.18</v>
      </c>
      <c r="F72" s="3">
        <f>1650.96+57.14+145.73+1.07</f>
        <v>1854.9</v>
      </c>
      <c r="G72" s="20">
        <f t="shared" si="5"/>
        <v>0.3891125025377587</v>
      </c>
      <c r="H72" s="6">
        <f t="shared" si="8"/>
        <v>1087440.05</v>
      </c>
      <c r="I72" s="6">
        <f t="shared" si="9"/>
        <v>23796.5</v>
      </c>
      <c r="J72" s="20">
        <f t="shared" si="7"/>
        <v>2.1883045414779416</v>
      </c>
    </row>
    <row r="73" spans="1:10" ht="12.75">
      <c r="A73" s="1" t="s">
        <v>74</v>
      </c>
      <c r="B73" s="15">
        <f>364893.43+49.92-2172.45</f>
        <v>362770.89999999997</v>
      </c>
      <c r="C73" s="15">
        <v>10326.45</v>
      </c>
      <c r="D73" s="19">
        <f t="shared" si="6"/>
        <v>2.846548606848014</v>
      </c>
      <c r="E73" s="15">
        <f>38318.49+9610.15+3390.3+6.75+0.3</f>
        <v>51325.990000000005</v>
      </c>
      <c r="F73" s="15">
        <v>148.82</v>
      </c>
      <c r="G73" s="19">
        <f t="shared" si="5"/>
        <v>0.2899505689028112</v>
      </c>
      <c r="H73" s="16">
        <f t="shared" si="8"/>
        <v>414096.88999999996</v>
      </c>
      <c r="I73" s="16">
        <f t="shared" si="9"/>
        <v>10475.27</v>
      </c>
      <c r="J73" s="19">
        <f t="shared" si="7"/>
        <v>2.529666426618177</v>
      </c>
    </row>
    <row r="74" spans="1:10" ht="12.75">
      <c r="A74" s="1" t="s">
        <v>75</v>
      </c>
      <c r="B74" s="3">
        <f>894053.68+481.53+42.11+1541.04-6016.26</f>
        <v>890102.1000000001</v>
      </c>
      <c r="C74" s="4">
        <v>23893.79</v>
      </c>
      <c r="D74" s="20">
        <f t="shared" si="6"/>
        <v>2.68438755509059</v>
      </c>
      <c r="E74" s="3">
        <f>68742.04+22.33+28208.26+13350.83+2.41+2.41-3063.64-62.52</f>
        <v>107202.12</v>
      </c>
      <c r="F74" s="3">
        <f>1093.99+55.88</f>
        <v>1149.8700000000001</v>
      </c>
      <c r="G74" s="20">
        <f t="shared" si="5"/>
        <v>1.0726187131373897</v>
      </c>
      <c r="H74" s="6">
        <f t="shared" si="8"/>
        <v>997304.2200000001</v>
      </c>
      <c r="I74" s="6">
        <f t="shared" si="9"/>
        <v>25043.66</v>
      </c>
      <c r="J74" s="20">
        <f t="shared" si="7"/>
        <v>2.5111354687740115</v>
      </c>
    </row>
    <row r="75" spans="1:10" ht="12.75">
      <c r="A75" s="1" t="s">
        <v>76</v>
      </c>
      <c r="B75" s="3">
        <f>473527.32+135.82+9450.77+452.26-2562.41</f>
        <v>481003.76000000007</v>
      </c>
      <c r="C75" s="3">
        <v>7209.71</v>
      </c>
      <c r="D75" s="20">
        <f t="shared" si="6"/>
        <v>1.498888491017201</v>
      </c>
      <c r="E75" s="3">
        <f>217756.93+133540.45+9322.42+989.95+0.91-88.94</f>
        <v>361521.72</v>
      </c>
      <c r="F75" s="3">
        <f>71.97+2.66</f>
        <v>74.63</v>
      </c>
      <c r="G75" s="20">
        <f t="shared" si="5"/>
        <v>0.020643296341918266</v>
      </c>
      <c r="H75" s="6">
        <f t="shared" si="8"/>
        <v>842525.48</v>
      </c>
      <c r="I75" s="6">
        <f t="shared" si="9"/>
        <v>7284.34</v>
      </c>
      <c r="J75" s="20">
        <f t="shared" si="7"/>
        <v>0.8645839411289972</v>
      </c>
    </row>
    <row r="76" spans="1:10" ht="12.75">
      <c r="A76" s="1" t="s">
        <v>77</v>
      </c>
      <c r="B76" s="3">
        <f>1132107.26+555.95+339.14+284.29-3914.37</f>
        <v>1129372.2699999998</v>
      </c>
      <c r="C76" s="3">
        <v>22341.01</v>
      </c>
      <c r="D76" s="20">
        <f t="shared" si="6"/>
        <v>1.9781794359091183</v>
      </c>
      <c r="E76" s="3">
        <f>212883.52+598835.96+141469+608.75+3.96-88.59</f>
        <v>953712.6</v>
      </c>
      <c r="F76" s="3">
        <f>660.43+283.13</f>
        <v>943.56</v>
      </c>
      <c r="G76" s="20">
        <f t="shared" si="5"/>
        <v>0.0989354654641241</v>
      </c>
      <c r="H76" s="6">
        <f t="shared" si="8"/>
        <v>2083084.8699999996</v>
      </c>
      <c r="I76" s="6">
        <f t="shared" si="9"/>
        <v>23284.57</v>
      </c>
      <c r="J76" s="20">
        <f t="shared" si="7"/>
        <v>1.1177926706366028</v>
      </c>
    </row>
    <row r="77" spans="1:10" ht="12.75">
      <c r="A77" s="1" t="s">
        <v>78</v>
      </c>
      <c r="B77" s="3">
        <f>627520.34+71.25+381.25-3102.7</f>
        <v>624870.14</v>
      </c>
      <c r="C77" s="3">
        <v>8896.46</v>
      </c>
      <c r="D77" s="20">
        <f t="shared" si="6"/>
        <v>1.4237294168033054</v>
      </c>
      <c r="E77" s="3">
        <f>53697.78+9009.58+7199.24+713.87-9.14</f>
        <v>70611.33</v>
      </c>
      <c r="F77" s="4">
        <f>261.9+46.98</f>
        <v>308.88</v>
      </c>
      <c r="G77" s="20">
        <f t="shared" si="5"/>
        <v>0.4374368815882663</v>
      </c>
      <c r="H77" s="6">
        <f t="shared" si="8"/>
        <v>695481.47</v>
      </c>
      <c r="I77" s="6">
        <f t="shared" si="9"/>
        <v>9205.339999999998</v>
      </c>
      <c r="J77" s="20">
        <f t="shared" si="7"/>
        <v>1.323592417207032</v>
      </c>
    </row>
    <row r="78" spans="1:10" ht="12.75">
      <c r="A78" s="1" t="s">
        <v>79</v>
      </c>
      <c r="B78" s="3">
        <f>4407346.4+909.35+1531.25+11615.33-25999.79</f>
        <v>4395402.54</v>
      </c>
      <c r="C78" s="3">
        <v>138258.2</v>
      </c>
      <c r="D78" s="20">
        <f t="shared" si="6"/>
        <v>3.1455184989723377</v>
      </c>
      <c r="E78" s="3">
        <f>570696.29+1934.16+5168.67+699710.83+113.59+161673.37+125.61+9535.8+7.55-5276.07-6437.19-38.55</f>
        <v>1437214.0600000003</v>
      </c>
      <c r="F78" s="3">
        <f>10485.38+1003.39+797.31</f>
        <v>12286.079999999998</v>
      </c>
      <c r="G78" s="20">
        <f t="shared" si="5"/>
        <v>0.8548538691585021</v>
      </c>
      <c r="H78" s="6">
        <f t="shared" si="8"/>
        <v>5832616.600000001</v>
      </c>
      <c r="I78" s="6">
        <f t="shared" si="9"/>
        <v>150544.28</v>
      </c>
      <c r="J78" s="20">
        <f t="shared" si="7"/>
        <v>2.5810762188620453</v>
      </c>
    </row>
    <row r="79" spans="1:10" ht="12.75">
      <c r="A79" s="1" t="s">
        <v>80</v>
      </c>
      <c r="B79" s="3">
        <f>218294.41+42487.88+102.3-6318.12</f>
        <v>254566.47</v>
      </c>
      <c r="C79" s="3">
        <v>14271.95</v>
      </c>
      <c r="D79" s="20">
        <f t="shared" si="6"/>
        <v>5.606374633705688</v>
      </c>
      <c r="E79" s="3">
        <f>223624.28+3992.71+7478.57</f>
        <v>235095.56</v>
      </c>
      <c r="F79" s="3">
        <f>5858.53+263.66</f>
        <v>6122.19</v>
      </c>
      <c r="G79" s="20">
        <f t="shared" si="5"/>
        <v>2.60412829574493</v>
      </c>
      <c r="H79" s="6">
        <f t="shared" si="8"/>
        <v>489662.03</v>
      </c>
      <c r="I79" s="6">
        <f t="shared" si="9"/>
        <v>20394.14</v>
      </c>
      <c r="J79" s="20">
        <f t="shared" si="7"/>
        <v>4.164942092814507</v>
      </c>
    </row>
    <row r="80" spans="1:10" ht="12.75">
      <c r="A80" s="1" t="s">
        <v>81</v>
      </c>
      <c r="B80" s="15">
        <f>969514.5+355.6+214.23+525-2398.72</f>
        <v>968210.61</v>
      </c>
      <c r="C80" s="15">
        <v>13426.13</v>
      </c>
      <c r="D80" s="19">
        <f t="shared" si="6"/>
        <v>1.3866951943441315</v>
      </c>
      <c r="E80" s="15">
        <f>190978.43+324718.58+35828.26+111.84+20.43+1.12-4310.04-136.29-7.82</f>
        <v>547204.51</v>
      </c>
      <c r="F80" s="15">
        <f>442.02+85.87+43.36</f>
        <v>571.25</v>
      </c>
      <c r="G80" s="19">
        <f t="shared" si="5"/>
        <v>0.10439424192611277</v>
      </c>
      <c r="H80" s="16">
        <f t="shared" si="8"/>
        <v>1515415.12</v>
      </c>
      <c r="I80" s="16">
        <f t="shared" si="9"/>
        <v>13997.38</v>
      </c>
      <c r="J80" s="19">
        <f t="shared" si="7"/>
        <v>0.923666381261921</v>
      </c>
    </row>
    <row r="81" spans="1:10" ht="12.75">
      <c r="A81" s="1" t="s">
        <v>82</v>
      </c>
      <c r="B81" s="3">
        <f>1846813.22+274.56+347.53-10211.59</f>
        <v>1837223.72</v>
      </c>
      <c r="C81" s="3">
        <v>34845.33</v>
      </c>
      <c r="D81" s="20">
        <f t="shared" si="6"/>
        <v>1.8966296603224784</v>
      </c>
      <c r="E81" s="3">
        <f>405094.67+28.83+1100589.87+103058.39+35.49+639.56+3.75+0.91-174.32-4004.77-58.69-15.75</f>
        <v>1605197.94</v>
      </c>
      <c r="F81" s="4">
        <f>1836.43+0.3</f>
        <v>1836.73</v>
      </c>
      <c r="G81" s="20">
        <f t="shared" si="5"/>
        <v>0.11442389466310929</v>
      </c>
      <c r="H81" s="6">
        <f t="shared" si="8"/>
        <v>3442421.66</v>
      </c>
      <c r="I81" s="6">
        <f t="shared" si="9"/>
        <v>36682.060000000005</v>
      </c>
      <c r="J81" s="20">
        <f t="shared" si="7"/>
        <v>1.0655888099425914</v>
      </c>
    </row>
    <row r="82" spans="1:10" ht="12.75">
      <c r="A82" s="1" t="s">
        <v>83</v>
      </c>
      <c r="B82" s="3">
        <f>222714.36+182190.9+3870.94-2471.48</f>
        <v>406304.72000000003</v>
      </c>
      <c r="C82" s="3">
        <v>17167.86</v>
      </c>
      <c r="D82" s="20">
        <f t="shared" si="6"/>
        <v>4.225365631981829</v>
      </c>
      <c r="E82" s="3">
        <f>493699.25+41640.88+7616.56+1032.58-65.53-36.81</f>
        <v>543886.9299999999</v>
      </c>
      <c r="F82" s="3">
        <f>27578.16+13.32+7.5</f>
        <v>27598.98</v>
      </c>
      <c r="G82" s="20">
        <f t="shared" si="5"/>
        <v>5.074396621371284</v>
      </c>
      <c r="H82" s="6">
        <f t="shared" si="8"/>
        <v>950191.6499999999</v>
      </c>
      <c r="I82" s="6">
        <f t="shared" si="9"/>
        <v>44766.84</v>
      </c>
      <c r="J82" s="20">
        <f t="shared" si="7"/>
        <v>4.7113484948010225</v>
      </c>
    </row>
    <row r="83" spans="1:10" ht="12.75">
      <c r="A83" s="1" t="s">
        <v>84</v>
      </c>
      <c r="B83" s="15">
        <f>859401.5+103.25+2776.48+470.55+2981.68-43845.58</f>
        <v>821887.8800000001</v>
      </c>
      <c r="C83" s="15">
        <v>4829.61</v>
      </c>
      <c r="D83" s="19">
        <f t="shared" si="6"/>
        <v>0.5876239469549057</v>
      </c>
      <c r="E83" s="15">
        <f>399608.07+611.29+42.39+290986.38+44142.96+123.02+3504.27</f>
        <v>739018.38</v>
      </c>
      <c r="F83" s="15">
        <f>410.21+862.72</f>
        <v>1272.93</v>
      </c>
      <c r="G83" s="19">
        <f t="shared" si="5"/>
        <v>0.17224605428622763</v>
      </c>
      <c r="H83" s="16">
        <f t="shared" si="8"/>
        <v>1560906.2600000002</v>
      </c>
      <c r="I83" s="16">
        <f t="shared" si="9"/>
        <v>6102.54</v>
      </c>
      <c r="J83" s="19">
        <f t="shared" si="7"/>
        <v>0.39096133806267125</v>
      </c>
    </row>
    <row r="84" spans="1:10" ht="12.75">
      <c r="A84" s="1" t="s">
        <v>85</v>
      </c>
      <c r="B84" s="3">
        <f>3712578.15+22333.64+78.23+902031+179.54-130.3</f>
        <v>4637070.26</v>
      </c>
      <c r="C84" s="3">
        <v>149423.16</v>
      </c>
      <c r="D84" s="20">
        <f t="shared" si="6"/>
        <v>3.222361353653503</v>
      </c>
      <c r="E84" s="3">
        <f>1038965.84+1561.32+172.79+106969.27+20.32+1698137.7+77.87+1513.84+14.83-10.27</f>
        <v>2847423.5100000002</v>
      </c>
      <c r="F84" s="3">
        <f>364662.72+57114.67+257.27</f>
        <v>422034.66</v>
      </c>
      <c r="G84" s="20">
        <f t="shared" si="5"/>
        <v>14.821632908411294</v>
      </c>
      <c r="H84" s="6">
        <f t="shared" si="8"/>
        <v>7484493.77</v>
      </c>
      <c r="I84" s="6">
        <f t="shared" si="9"/>
        <v>571457.82</v>
      </c>
      <c r="J84" s="20">
        <f t="shared" si="7"/>
        <v>7.63522340402723</v>
      </c>
    </row>
    <row r="85" spans="1:10" ht="12.75">
      <c r="A85" s="1" t="s">
        <v>86</v>
      </c>
      <c r="B85" s="4">
        <f>400446.85+202.03+3146.87+2153-5610.6</f>
        <v>400338.15</v>
      </c>
      <c r="C85" s="3">
        <v>18260.39</v>
      </c>
      <c r="D85" s="20">
        <f t="shared" si="6"/>
        <v>4.561241540432756</v>
      </c>
      <c r="E85" s="3">
        <f>32067.87+5186.82+5480.52+62.28+1.88+1.56-62.28</f>
        <v>42738.65</v>
      </c>
      <c r="F85" s="3">
        <v>157.08</v>
      </c>
      <c r="G85" s="20">
        <f t="shared" si="5"/>
        <v>0.3675361762713609</v>
      </c>
      <c r="H85" s="6">
        <f t="shared" si="8"/>
        <v>443076.80000000005</v>
      </c>
      <c r="I85" s="6">
        <f t="shared" si="9"/>
        <v>18417.47</v>
      </c>
      <c r="J85" s="20">
        <f t="shared" si="7"/>
        <v>4.15672181436717</v>
      </c>
    </row>
    <row r="86" spans="1:10" ht="12.75">
      <c r="A86" s="1" t="s">
        <v>87</v>
      </c>
      <c r="B86" s="3">
        <f>408358+7327.56+524-1776.94</f>
        <v>414432.62</v>
      </c>
      <c r="C86" s="3">
        <v>11362.27</v>
      </c>
      <c r="D86" s="20">
        <f t="shared" si="6"/>
        <v>2.741644709337793</v>
      </c>
      <c r="E86" s="3">
        <f>44725.29+11924+10062.11+43.12-100.58</f>
        <v>66653.93999999999</v>
      </c>
      <c r="F86" s="3">
        <f>813.11+84.75</f>
        <v>897.86</v>
      </c>
      <c r="G86" s="20">
        <f t="shared" si="5"/>
        <v>1.3470471513011837</v>
      </c>
      <c r="H86" s="6">
        <f t="shared" si="8"/>
        <v>481086.56</v>
      </c>
      <c r="I86" s="6">
        <f t="shared" si="9"/>
        <v>12260.130000000001</v>
      </c>
      <c r="J86" s="20">
        <f t="shared" si="7"/>
        <v>2.5484249653534286</v>
      </c>
    </row>
    <row r="87" spans="1:10" ht="12.75">
      <c r="A87" s="1" t="s">
        <v>88</v>
      </c>
      <c r="B87" s="3">
        <f>1115799.74+29634.93+195.57-4221.63</f>
        <v>1141408.61</v>
      </c>
      <c r="C87" s="3">
        <v>26294.42</v>
      </c>
      <c r="D87" s="20">
        <f t="shared" si="6"/>
        <v>2.303681588664378</v>
      </c>
      <c r="E87" s="3">
        <f>157128.35+105771.19+12248.41+58.21-40.69-16.78-0.39</f>
        <v>275148.3</v>
      </c>
      <c r="F87" s="3">
        <f>216.36+3.03</f>
        <v>219.39000000000001</v>
      </c>
      <c r="G87" s="20">
        <f t="shared" si="5"/>
        <v>0.07973518280868899</v>
      </c>
      <c r="H87" s="6">
        <f t="shared" si="8"/>
        <v>1416556.9100000001</v>
      </c>
      <c r="I87" s="6">
        <f t="shared" si="9"/>
        <v>26513.809999999998</v>
      </c>
      <c r="J87" s="20">
        <f t="shared" si="7"/>
        <v>1.8717080699567512</v>
      </c>
    </row>
    <row r="88" spans="1:10" ht="12.75">
      <c r="A88" s="1" t="s">
        <v>89</v>
      </c>
      <c r="B88" s="3">
        <f>159888.01+97.48+448.48-2380.98</f>
        <v>158052.99000000002</v>
      </c>
      <c r="C88" s="3">
        <v>13758.58</v>
      </c>
      <c r="D88" s="20">
        <f t="shared" si="6"/>
        <v>8.705042530356431</v>
      </c>
      <c r="E88" s="3">
        <f>16092.25+6687.75+2934.92-3328.81-3716.78-526</f>
        <v>18143.329999999998</v>
      </c>
      <c r="F88" s="3">
        <f>4743.9+41.5</f>
        <v>4785.4</v>
      </c>
      <c r="G88" s="20">
        <f t="shared" si="5"/>
        <v>26.375533047130816</v>
      </c>
      <c r="H88" s="6">
        <f t="shared" si="8"/>
        <v>176196.32</v>
      </c>
      <c r="I88" s="6">
        <f t="shared" si="9"/>
        <v>18543.98</v>
      </c>
      <c r="J88" s="20">
        <f t="shared" si="7"/>
        <v>10.524612545823885</v>
      </c>
    </row>
    <row r="89" spans="1:10" ht="12.75">
      <c r="A89" s="1" t="s">
        <v>90</v>
      </c>
      <c r="B89" s="15">
        <f>1355819.87+607.2+109.23+939.26-5212.04</f>
        <v>1352263.52</v>
      </c>
      <c r="C89" s="15">
        <v>30491.27</v>
      </c>
      <c r="D89" s="19">
        <f t="shared" si="6"/>
        <v>2.2548319576054228</v>
      </c>
      <c r="E89" s="15">
        <f>173303.66+214.5+252980.89+14288.77+2.63+137.72+0.79-907.33</f>
        <v>440021.63</v>
      </c>
      <c r="F89" s="15">
        <f>378.28+106.16+2.48</f>
        <v>486.91999999999996</v>
      </c>
      <c r="G89" s="19">
        <f t="shared" si="5"/>
        <v>0.11065819650729443</v>
      </c>
      <c r="H89" s="16">
        <f t="shared" si="8"/>
        <v>1792285.15</v>
      </c>
      <c r="I89" s="16">
        <f t="shared" si="9"/>
        <v>30978.19</v>
      </c>
      <c r="J89" s="19">
        <f t="shared" si="7"/>
        <v>1.728418605711262</v>
      </c>
    </row>
    <row r="90" spans="1:10" ht="12.75">
      <c r="A90" s="1" t="s">
        <v>91</v>
      </c>
      <c r="B90" s="3">
        <f>308294.65+2525.51+41.48-1149.73</f>
        <v>309711.91000000003</v>
      </c>
      <c r="C90" s="3">
        <v>7457.82</v>
      </c>
      <c r="D90" s="19">
        <f t="shared" si="6"/>
        <v>2.4079861830305456</v>
      </c>
      <c r="E90" s="3">
        <f>40554.45+26.19+145981.48+12341.5+0.05+1.88</f>
        <v>198905.55</v>
      </c>
      <c r="F90" s="3">
        <v>44.91</v>
      </c>
      <c r="G90" s="20">
        <f t="shared" si="5"/>
        <v>0.022578555500336717</v>
      </c>
      <c r="H90" s="6">
        <f t="shared" si="8"/>
        <v>508617.46</v>
      </c>
      <c r="I90" s="6">
        <f t="shared" si="9"/>
        <v>7502.73</v>
      </c>
      <c r="J90" s="20">
        <f t="shared" si="7"/>
        <v>1.4751223837262684</v>
      </c>
    </row>
    <row r="91" spans="1:10" ht="12.75">
      <c r="A91" s="1" t="s">
        <v>92</v>
      </c>
      <c r="B91" s="3">
        <f>324258.38+170.26+148.84-655.38</f>
        <v>323922.10000000003</v>
      </c>
      <c r="C91" s="3">
        <v>7053.19</v>
      </c>
      <c r="D91" s="20">
        <f t="shared" si="6"/>
        <v>2.1774340188582375</v>
      </c>
      <c r="E91" s="3">
        <f>54198.94+24298.62+11423.26+19.35+3.59-38.77-9.17-0.75</f>
        <v>89895.06999999999</v>
      </c>
      <c r="F91" s="3">
        <f>38.89+9.15</f>
        <v>48.04</v>
      </c>
      <c r="G91" s="20">
        <f>F91/E91*100</f>
        <v>0.05344008297674167</v>
      </c>
      <c r="H91" s="6">
        <f t="shared" si="8"/>
        <v>413817.17000000004</v>
      </c>
      <c r="I91" s="6">
        <f t="shared" si="9"/>
        <v>7101.23</v>
      </c>
      <c r="J91" s="20">
        <f t="shared" si="7"/>
        <v>1.716030777553285</v>
      </c>
    </row>
    <row r="92" spans="1:10" ht="12.75">
      <c r="A92" s="1" t="s">
        <v>93</v>
      </c>
      <c r="B92" s="3">
        <f>1307424.66+14.64+220.1+866.51-2331.97</f>
        <v>1306193.94</v>
      </c>
      <c r="C92" s="3">
        <f>42438.6+427.5</f>
        <v>42866.1</v>
      </c>
      <c r="D92" s="20">
        <f t="shared" si="6"/>
        <v>3.2817561533014</v>
      </c>
      <c r="E92" s="3">
        <f>233256.51+290.3+189052.48+56725.46+7780.19+2.06</f>
        <v>487107.00000000006</v>
      </c>
      <c r="F92" s="3">
        <f>6630.35+505.12+1691.36+5.63</f>
        <v>8832.46</v>
      </c>
      <c r="G92" s="20">
        <f t="shared" si="5"/>
        <v>1.8132484238575914</v>
      </c>
      <c r="H92" s="6">
        <f t="shared" si="8"/>
        <v>1793300.94</v>
      </c>
      <c r="I92" s="6">
        <f t="shared" si="9"/>
        <v>51698.56</v>
      </c>
      <c r="J92" s="20">
        <f t="shared" si="7"/>
        <v>2.882871404729203</v>
      </c>
    </row>
    <row r="93" spans="1:10" ht="12.75">
      <c r="A93" s="1" t="s">
        <v>94</v>
      </c>
      <c r="B93" s="3">
        <f>305630.25+237.9+2967.84+16118.76-3563.74</f>
        <v>321391.01000000007</v>
      </c>
      <c r="C93" s="4">
        <v>12541.61</v>
      </c>
      <c r="D93" s="20">
        <f t="shared" si="6"/>
        <v>3.9022902351873494</v>
      </c>
      <c r="E93" s="4">
        <f>130311.39+5793.08+7264.82+8.93+3.65-5.76</f>
        <v>143376.11</v>
      </c>
      <c r="F93" s="3">
        <f>378.79+70.91</f>
        <v>449.70000000000005</v>
      </c>
      <c r="G93" s="20">
        <f t="shared" si="5"/>
        <v>0.31365057958400466</v>
      </c>
      <c r="H93" s="6">
        <f t="shared" si="8"/>
        <v>464767.12000000005</v>
      </c>
      <c r="I93" s="6">
        <f t="shared" si="9"/>
        <v>12991.310000000001</v>
      </c>
      <c r="J93" s="20">
        <f t="shared" si="7"/>
        <v>2.795230006804268</v>
      </c>
    </row>
    <row r="94" spans="1:10" ht="12.75">
      <c r="A94" s="1" t="s">
        <v>95</v>
      </c>
      <c r="B94" s="3">
        <f>999178.56+145.67+16022.12+5979.31-20144.45</f>
        <v>1001181.2100000002</v>
      </c>
      <c r="C94" s="3">
        <v>44015.93</v>
      </c>
      <c r="D94" s="20">
        <f t="shared" si="6"/>
        <v>4.396399928440526</v>
      </c>
      <c r="E94" s="3">
        <f>356632.71+175.82+9611.96+34686.99+4171.05+27207.58+465.25+426.42+10.71-683.6</f>
        <v>432704.8900000001</v>
      </c>
      <c r="F94" s="3">
        <f>4126.82+317.92</f>
        <v>4444.74</v>
      </c>
      <c r="G94" s="20">
        <f t="shared" si="5"/>
        <v>1.027198929968182</v>
      </c>
      <c r="H94" s="6">
        <f t="shared" si="8"/>
        <v>1433886.1000000003</v>
      </c>
      <c r="I94" s="6">
        <f t="shared" si="9"/>
        <v>48460.67</v>
      </c>
      <c r="J94" s="20">
        <f t="shared" si="7"/>
        <v>3.3796736016898405</v>
      </c>
    </row>
    <row r="95" spans="1:10" ht="12.75">
      <c r="A95" s="1" t="s">
        <v>96</v>
      </c>
      <c r="B95" s="15">
        <f>2713115.83+567.06+214.16+619.93+390-16873.84</f>
        <v>2698033.1400000006</v>
      </c>
      <c r="C95" s="15">
        <v>28307.78</v>
      </c>
      <c r="D95" s="19">
        <f t="shared" si="6"/>
        <v>1.0492006039629296</v>
      </c>
      <c r="E95" s="15">
        <f>318391.06+118.88+477239.12+60903.52+247.25+641-1010.05</f>
        <v>856530.78</v>
      </c>
      <c r="F95" s="15">
        <f>4063.76+163.75</f>
        <v>4227.51</v>
      </c>
      <c r="G95" s="19">
        <f t="shared" si="5"/>
        <v>0.4935619476511982</v>
      </c>
      <c r="H95" s="16">
        <f t="shared" si="8"/>
        <v>3554563.920000001</v>
      </c>
      <c r="I95" s="16">
        <f t="shared" si="9"/>
        <v>32535.29</v>
      </c>
      <c r="J95" s="19">
        <f t="shared" si="7"/>
        <v>0.9153103090069061</v>
      </c>
    </row>
    <row r="96" spans="1:10" ht="12.75">
      <c r="A96" s="1" t="s">
        <v>97</v>
      </c>
      <c r="B96" s="3">
        <f>249461.17-637.41</f>
        <v>248823.76</v>
      </c>
      <c r="C96" s="3">
        <v>3289</v>
      </c>
      <c r="D96" s="20">
        <f t="shared" si="6"/>
        <v>1.321819106021065</v>
      </c>
      <c r="E96" s="3">
        <f>10974.1+5839.54+1366.78+0.17</f>
        <v>18180.589999999997</v>
      </c>
      <c r="F96" s="3">
        <f>70.17+10.75</f>
        <v>80.92</v>
      </c>
      <c r="G96" s="20">
        <f t="shared" si="5"/>
        <v>0.4450900658339472</v>
      </c>
      <c r="H96" s="6">
        <f t="shared" si="8"/>
        <v>267004.35</v>
      </c>
      <c r="I96" s="6">
        <f t="shared" si="9"/>
        <v>3369.92</v>
      </c>
      <c r="J96" s="20">
        <f t="shared" si="7"/>
        <v>1.2621217594395</v>
      </c>
    </row>
    <row r="97" spans="1:10" ht="12.75">
      <c r="A97" s="1" t="s">
        <v>98</v>
      </c>
      <c r="B97" s="3">
        <f>784735.89+52.83+8661.38+107.48-5553.93</f>
        <v>788003.6499999999</v>
      </c>
      <c r="C97" s="3">
        <v>13576.64</v>
      </c>
      <c r="D97" s="20">
        <f t="shared" si="6"/>
        <v>1.7229158773566593</v>
      </c>
      <c r="E97" s="3">
        <f>169973+107948.11+20621.24+310.59+18.18-299.52</f>
        <v>298571.6</v>
      </c>
      <c r="F97" s="3">
        <f>64.21+16.32</f>
        <v>80.53</v>
      </c>
      <c r="G97" s="20">
        <f t="shared" si="5"/>
        <v>0.026971754848753197</v>
      </c>
      <c r="H97" s="6">
        <f t="shared" si="8"/>
        <v>1086575.25</v>
      </c>
      <c r="I97" s="6">
        <f t="shared" si="9"/>
        <v>13657.17</v>
      </c>
      <c r="J97" s="20">
        <f t="shared" si="7"/>
        <v>1.2569005229964514</v>
      </c>
    </row>
    <row r="98" spans="1:10" ht="12.75">
      <c r="A98" s="1" t="s">
        <v>99</v>
      </c>
      <c r="B98" s="3">
        <f>6515645.82+4204.12+2259.05+6648.27-15267.39</f>
        <v>6513489.87</v>
      </c>
      <c r="C98" s="3">
        <v>119548.13</v>
      </c>
      <c r="D98" s="20">
        <f t="shared" si="6"/>
        <v>1.8353928905396455</v>
      </c>
      <c r="E98" s="3">
        <f>242734.46+1.22+33430.77+30225.12+654.41+56.6+0.85-2310.99+42.93+36+0.34</f>
        <v>304871.70999999996</v>
      </c>
      <c r="F98" s="4">
        <f>6194.79+53.42+74.76+8.7</f>
        <v>6331.67</v>
      </c>
      <c r="G98" s="20">
        <f t="shared" si="5"/>
        <v>2.076830939807436</v>
      </c>
      <c r="H98" s="6">
        <f t="shared" si="8"/>
        <v>6818361.58</v>
      </c>
      <c r="I98" s="6">
        <f t="shared" si="9"/>
        <v>125879.8</v>
      </c>
      <c r="J98" s="20">
        <f t="shared" si="7"/>
        <v>1.846188391786638</v>
      </c>
    </row>
    <row r="99" spans="1:10" ht="12.75">
      <c r="A99" s="1" t="s">
        <v>100</v>
      </c>
      <c r="B99" s="4">
        <f>492666.8+164.09+26.72-2032.15</f>
        <v>490825.45999999996</v>
      </c>
      <c r="C99" s="3">
        <v>8307.1</v>
      </c>
      <c r="D99" s="20">
        <f t="shared" si="6"/>
        <v>1.6924753658866845</v>
      </c>
      <c r="E99" s="3">
        <f>45446.65+5328.07+3839.77+41.64+5.33-14.4-11.85</f>
        <v>54635.21</v>
      </c>
      <c r="F99" s="3">
        <v>1.62</v>
      </c>
      <c r="G99" s="20">
        <f t="shared" si="5"/>
        <v>0.0029651208442321355</v>
      </c>
      <c r="H99" s="6">
        <f t="shared" si="8"/>
        <v>545460.6699999999</v>
      </c>
      <c r="I99" s="6">
        <f t="shared" si="9"/>
        <v>8308.720000000001</v>
      </c>
      <c r="J99" s="20">
        <f t="shared" si="7"/>
        <v>1.52324822979446</v>
      </c>
    </row>
    <row r="100" spans="1:10" ht="12.75">
      <c r="A100" s="1" t="s">
        <v>101</v>
      </c>
      <c r="B100" s="3">
        <f>87162.43+1074.93-1305.03</f>
        <v>86932.32999999999</v>
      </c>
      <c r="C100" s="3">
        <v>4781.25</v>
      </c>
      <c r="D100" s="20">
        <f t="shared" si="6"/>
        <v>5.499967618491303</v>
      </c>
      <c r="E100" s="3">
        <f>9406.91+525.8</f>
        <v>9932.71</v>
      </c>
      <c r="F100" s="3">
        <f>132.02+45.39</f>
        <v>177.41000000000003</v>
      </c>
      <c r="G100" s="20">
        <f t="shared" si="5"/>
        <v>1.7861187933605236</v>
      </c>
      <c r="H100" s="6">
        <f t="shared" si="8"/>
        <v>96865.03999999998</v>
      </c>
      <c r="I100" s="6">
        <f t="shared" si="9"/>
        <v>4958.66</v>
      </c>
      <c r="J100" s="20">
        <f t="shared" si="7"/>
        <v>5.119143088156472</v>
      </c>
    </row>
    <row r="101" spans="1:10" ht="12.75">
      <c r="A101" s="1" t="s">
        <v>102</v>
      </c>
      <c r="B101" s="15">
        <f>633890.77+56.36+3754.88+218.62-1667.19</f>
        <v>636253.4400000001</v>
      </c>
      <c r="C101" s="15">
        <v>11493.61</v>
      </c>
      <c r="D101" s="19">
        <f t="shared" si="6"/>
        <v>1.8064515297551869</v>
      </c>
      <c r="E101" s="15">
        <f>136273.11+97707.29+6848.71+75.19+0.05</f>
        <v>240904.34999999995</v>
      </c>
      <c r="F101" s="15">
        <f>339.42+24.31</f>
        <v>363.73</v>
      </c>
      <c r="G101" s="19">
        <f t="shared" si="5"/>
        <v>0.1509852354264255</v>
      </c>
      <c r="H101" s="16">
        <f t="shared" si="8"/>
        <v>877157.79</v>
      </c>
      <c r="I101" s="16">
        <f t="shared" si="9"/>
        <v>11857.34</v>
      </c>
      <c r="J101" s="19">
        <f t="shared" si="7"/>
        <v>1.3517909930435663</v>
      </c>
    </row>
    <row r="102" spans="1:10" ht="12.75">
      <c r="A102" s="1" t="s">
        <v>103</v>
      </c>
      <c r="B102" s="3">
        <f>915814.56+178599.98+2846.1-11990.98</f>
        <v>1085269.6600000001</v>
      </c>
      <c r="C102" s="3">
        <v>54618.08</v>
      </c>
      <c r="D102" s="20">
        <f t="shared" si="6"/>
        <v>5.03267363062559</v>
      </c>
      <c r="E102" s="3">
        <f>1006983.02+157110.58+45795.88+10.54+6605.85+0.71-14369.7</f>
        <v>1202136.8800000001</v>
      </c>
      <c r="F102" s="3">
        <f>5638.42+850.94</f>
        <v>6489.360000000001</v>
      </c>
      <c r="G102" s="20">
        <f t="shared" si="5"/>
        <v>0.539818726799231</v>
      </c>
      <c r="H102" s="6">
        <f t="shared" si="8"/>
        <v>2287406.54</v>
      </c>
      <c r="I102" s="6">
        <f t="shared" si="9"/>
        <v>61107.44</v>
      </c>
      <c r="J102" s="20">
        <f t="shared" si="7"/>
        <v>2.671472645173079</v>
      </c>
    </row>
    <row r="103" spans="1:10" ht="12.75">
      <c r="A103" s="1" t="s">
        <v>104</v>
      </c>
      <c r="B103" s="4">
        <f>1736464.77+821375.72+6748.31-10115.87</f>
        <v>2554472.93</v>
      </c>
      <c r="C103" s="3">
        <v>116789.58</v>
      </c>
      <c r="D103" s="20">
        <f t="shared" si="6"/>
        <v>4.571963892371332</v>
      </c>
      <c r="E103" s="3">
        <f>2009899.6+10703.58+296393.55+74900.4+119.02+207.49-12800.13-195.53</f>
        <v>2379227.9800000004</v>
      </c>
      <c r="F103" s="3">
        <f>5723.11+83.22+457.4+23.14</f>
        <v>6286.87</v>
      </c>
      <c r="G103" s="20">
        <f t="shared" si="5"/>
        <v>0.2642399153358981</v>
      </c>
      <c r="H103" s="6">
        <f t="shared" si="8"/>
        <v>4933700.91</v>
      </c>
      <c r="I103" s="6">
        <f t="shared" si="9"/>
        <v>123076.45</v>
      </c>
      <c r="J103" s="20">
        <f t="shared" si="7"/>
        <v>2.494607035269189</v>
      </c>
    </row>
    <row r="104" spans="1:10" ht="12.75">
      <c r="A104" s="1" t="s">
        <v>105</v>
      </c>
      <c r="B104" s="3">
        <f>420358.64+1201.49+405.83-3130.9</f>
        <v>418835.06</v>
      </c>
      <c r="C104" s="3">
        <v>17632.51</v>
      </c>
      <c r="D104" s="20">
        <f t="shared" si="6"/>
        <v>4.209893507959911</v>
      </c>
      <c r="E104" s="3">
        <f>52423.81+13274.31+1953.4+8706.73+16.87-5892.83</f>
        <v>70482.28999999998</v>
      </c>
      <c r="F104" s="3">
        <f>975.06+49.92</f>
        <v>1024.98</v>
      </c>
      <c r="G104" s="20">
        <f t="shared" si="5"/>
        <v>1.4542376531750036</v>
      </c>
      <c r="H104" s="6">
        <f t="shared" si="8"/>
        <v>489317.35</v>
      </c>
      <c r="I104" s="6">
        <f t="shared" si="9"/>
        <v>18657.489999999998</v>
      </c>
      <c r="J104" s="20">
        <f t="shared" si="7"/>
        <v>3.8129631005317917</v>
      </c>
    </row>
    <row r="105" spans="1:10" ht="12.75">
      <c r="A105" s="1" t="s">
        <v>106</v>
      </c>
      <c r="B105" s="3">
        <f>3573869.32+867.67+2149.52+2260.91-32593.07</f>
        <v>3546554.35</v>
      </c>
      <c r="C105" s="3">
        <v>56049.27</v>
      </c>
      <c r="D105" s="20">
        <f t="shared" si="6"/>
        <v>1.5803866082018452</v>
      </c>
      <c r="E105" s="3">
        <f>650350.42+522.26+1614.86+269229.6+119426.65+2013.36+262.58+1705.34+34.02-2703.47+262.57</f>
        <v>1042718.19</v>
      </c>
      <c r="F105" s="3">
        <f>4949.41+16968.55</f>
        <v>21917.96</v>
      </c>
      <c r="G105" s="20">
        <f t="shared" si="5"/>
        <v>2.1020022677459957</v>
      </c>
      <c r="H105" s="6">
        <f t="shared" si="8"/>
        <v>4589272.54</v>
      </c>
      <c r="I105" s="6">
        <f t="shared" si="9"/>
        <v>77967.23</v>
      </c>
      <c r="J105" s="20">
        <f t="shared" si="7"/>
        <v>1.698901717438642</v>
      </c>
    </row>
    <row r="106" spans="1:10" ht="12.75">
      <c r="A106" s="1" t="s">
        <v>107</v>
      </c>
      <c r="B106" s="3">
        <f>65203.08-314.79</f>
        <v>64888.29</v>
      </c>
      <c r="C106" s="3">
        <v>1337.99</v>
      </c>
      <c r="D106" s="20">
        <f t="shared" si="6"/>
        <v>2.0619899214480766</v>
      </c>
      <c r="E106" s="3">
        <f>3116.54+199.23</f>
        <v>3315.77</v>
      </c>
      <c r="F106" s="3">
        <v>6.25</v>
      </c>
      <c r="G106" s="20">
        <f t="shared" si="5"/>
        <v>0.18849317051544587</v>
      </c>
      <c r="H106" s="6">
        <f t="shared" si="8"/>
        <v>68204.06</v>
      </c>
      <c r="I106" s="6">
        <f t="shared" si="9"/>
        <v>1344.24</v>
      </c>
      <c r="J106" s="20">
        <f t="shared" si="7"/>
        <v>1.9709090631848016</v>
      </c>
    </row>
    <row r="107" spans="1:10" ht="12.75">
      <c r="A107" s="1" t="s">
        <v>108</v>
      </c>
      <c r="B107" s="3">
        <f>422019.69+38.31+197.96+279.38-5996.61</f>
        <v>416538.73000000004</v>
      </c>
      <c r="C107" s="3">
        <v>9656.51</v>
      </c>
      <c r="D107" s="20">
        <f t="shared" si="6"/>
        <v>2.3182742214631515</v>
      </c>
      <c r="E107" s="3">
        <f>51561.63+390.14+10825.13+2097.62+6675.02+605.7+20.25-306.11-1877.51-505.12</f>
        <v>69486.75</v>
      </c>
      <c r="F107" s="3">
        <f>684.76+295.89</f>
        <v>980.65</v>
      </c>
      <c r="G107" s="20">
        <f t="shared" si="5"/>
        <v>1.4112762505081904</v>
      </c>
      <c r="H107" s="6">
        <f t="shared" si="8"/>
        <v>486025.48000000004</v>
      </c>
      <c r="I107" s="6">
        <f t="shared" si="9"/>
        <v>10637.16</v>
      </c>
      <c r="J107" s="20">
        <f t="shared" si="7"/>
        <v>2.188601305429501</v>
      </c>
    </row>
    <row r="108" spans="1:10" ht="12.75">
      <c r="A108" s="1" t="s">
        <v>109</v>
      </c>
      <c r="B108" s="15">
        <f>1001141.25+912.74+86.38+832.57-4907.77</f>
        <v>998065.1699999999</v>
      </c>
      <c r="C108" s="15">
        <v>49303.19</v>
      </c>
      <c r="D108" s="19">
        <f t="shared" si="6"/>
        <v>4.939876821871262</v>
      </c>
      <c r="E108" s="15">
        <f>181550.42+103.05+705+87079.66+26372.49+24.66+361.87+1.99-25.33</f>
        <v>296173.80999999994</v>
      </c>
      <c r="F108" s="15">
        <f>8805.65+296.21</f>
        <v>9101.859999999999</v>
      </c>
      <c r="G108" s="19">
        <f t="shared" si="5"/>
        <v>3.0731481625603565</v>
      </c>
      <c r="H108" s="16">
        <f t="shared" si="8"/>
        <v>1294238.98</v>
      </c>
      <c r="I108" s="16">
        <f t="shared" si="9"/>
        <v>58405.05</v>
      </c>
      <c r="J108" s="19">
        <f t="shared" si="7"/>
        <v>4.51269440208021</v>
      </c>
    </row>
    <row r="109" spans="1:10" ht="12.75">
      <c r="A109" s="1" t="s">
        <v>110</v>
      </c>
      <c r="B109" s="3">
        <f>887295.58+9.76+747.95+255.1+1500-4205.19</f>
        <v>885603.2</v>
      </c>
      <c r="C109" s="3">
        <v>18527.87</v>
      </c>
      <c r="D109" s="20">
        <f t="shared" si="6"/>
        <v>2.092118682497986</v>
      </c>
      <c r="E109" s="4">
        <f>122782.8+426.48+96620.97+46932.97+16.1+3998.14-225.34-130.61-48.81-8.7</f>
        <v>270363.99999999994</v>
      </c>
      <c r="F109" s="3">
        <f>340.15+9.71+72.33+20.1</f>
        <v>442.28999999999996</v>
      </c>
      <c r="G109" s="20">
        <f t="shared" si="5"/>
        <v>0.16359056679143674</v>
      </c>
      <c r="H109" s="6">
        <f t="shared" si="8"/>
        <v>1155967.2</v>
      </c>
      <c r="I109" s="6">
        <f t="shared" si="9"/>
        <v>18970.16</v>
      </c>
      <c r="J109" s="20">
        <f t="shared" si="7"/>
        <v>1.641063864095798</v>
      </c>
    </row>
    <row r="110" spans="1:10" ht="12.75">
      <c r="A110" s="1" t="s">
        <v>111</v>
      </c>
      <c r="B110" s="3">
        <f>4029714.44+10299.9+1160.42+2921.03+55500-15636.25</f>
        <v>4083959.5399999996</v>
      </c>
      <c r="C110" s="3">
        <v>132376.21</v>
      </c>
      <c r="D110" s="20">
        <f t="shared" si="6"/>
        <v>3.2413692815379855</v>
      </c>
      <c r="E110" s="3">
        <f>481860.32+257646.96+88180.62+15+1407.22+11855.99-6234.57-592.64-2.93</f>
        <v>834135.97</v>
      </c>
      <c r="F110" s="3">
        <f>19903.54+139.27+3+0.16</f>
        <v>20045.97</v>
      </c>
      <c r="G110" s="20">
        <f t="shared" si="5"/>
        <v>2.4032017226160383</v>
      </c>
      <c r="H110" s="6">
        <f t="shared" si="8"/>
        <v>4918095.51</v>
      </c>
      <c r="I110" s="6">
        <f t="shared" si="9"/>
        <v>152422.18</v>
      </c>
      <c r="J110" s="20">
        <f t="shared" si="7"/>
        <v>3.099211466920048</v>
      </c>
    </row>
    <row r="111" spans="1:10" ht="12.75">
      <c r="A111" s="1" t="s">
        <v>112</v>
      </c>
      <c r="B111" s="15">
        <f>3128864.03+666.61+313.05-10804.68</f>
        <v>3119039.0099999993</v>
      </c>
      <c r="C111" s="15">
        <v>63315.04</v>
      </c>
      <c r="D111" s="19">
        <f t="shared" si="6"/>
        <v>2.029953450309684</v>
      </c>
      <c r="E111" s="15">
        <f>518910.58+456474.65+86314.17+372.02+22.43-3280.52-9.35</f>
        <v>1058803.9799999997</v>
      </c>
      <c r="F111" s="15">
        <f>9428+1209.68+1021.38</f>
        <v>11659.06</v>
      </c>
      <c r="G111" s="19">
        <f t="shared" si="5"/>
        <v>1.1011537754136513</v>
      </c>
      <c r="H111" s="16">
        <f t="shared" si="8"/>
        <v>4177842.9899999993</v>
      </c>
      <c r="I111" s="16">
        <f t="shared" si="9"/>
        <v>74974.1</v>
      </c>
      <c r="J111" s="19">
        <f t="shared" si="7"/>
        <v>1.7945648072332183</v>
      </c>
    </row>
    <row r="112" spans="1:10" ht="12.75">
      <c r="A112" s="1" t="s">
        <v>113</v>
      </c>
      <c r="B112" s="3">
        <f>1161436.46+391.57+106.14-1914.91</f>
        <v>1160019.26</v>
      </c>
      <c r="C112" s="3">
        <v>29538.72</v>
      </c>
      <c r="D112" s="20">
        <f t="shared" si="6"/>
        <v>2.546399100304593</v>
      </c>
      <c r="E112" s="3">
        <f>259888.85+258621.18+6966.78+38789.05+479.32+159.31-42489.65-1.75</f>
        <v>522413.0900000001</v>
      </c>
      <c r="F112" s="3">
        <f>1272.83+11.19</f>
        <v>1284.02</v>
      </c>
      <c r="G112" s="20">
        <f t="shared" si="5"/>
        <v>0.24578633739824546</v>
      </c>
      <c r="H112" s="6">
        <f t="shared" si="8"/>
        <v>1682432.35</v>
      </c>
      <c r="I112" s="6">
        <f t="shared" si="9"/>
        <v>30822.74</v>
      </c>
      <c r="J112" s="20">
        <f t="shared" si="7"/>
        <v>1.8320344351438558</v>
      </c>
    </row>
    <row r="113" spans="1:10" ht="12.75">
      <c r="A113" s="1" t="s">
        <v>114</v>
      </c>
      <c r="B113" s="3">
        <f>1186433.77+109.87+239.97-5022.96</f>
        <v>1181760.6500000001</v>
      </c>
      <c r="C113" s="3">
        <f>18002.63+97.6</f>
        <v>18100.23</v>
      </c>
      <c r="D113" s="20">
        <f t="shared" si="6"/>
        <v>1.5316324841244289</v>
      </c>
      <c r="E113" s="3">
        <f>30711.94+46.93+340.16+1416.36+177.47+8.54-213</f>
        <v>32488.4</v>
      </c>
      <c r="F113" s="4">
        <f>1555.53+51.24</f>
        <v>1606.77</v>
      </c>
      <c r="G113" s="20">
        <f t="shared" si="5"/>
        <v>4.94567291710272</v>
      </c>
      <c r="H113" s="6">
        <f t="shared" si="8"/>
        <v>1214249.05</v>
      </c>
      <c r="I113" s="6">
        <f t="shared" si="9"/>
        <v>19707</v>
      </c>
      <c r="J113" s="20">
        <f t="shared" si="7"/>
        <v>1.6229784161659422</v>
      </c>
    </row>
    <row r="114" spans="1:10" ht="12.75">
      <c r="A114" s="1" t="s">
        <v>115</v>
      </c>
      <c r="B114" s="15">
        <f>1124352.9+73.2+16.66+2354.24-5900.87</f>
        <v>1120896.1299999997</v>
      </c>
      <c r="C114" s="15">
        <v>15719.31</v>
      </c>
      <c r="D114" s="19">
        <f t="shared" si="6"/>
        <v>1.4023877484526603</v>
      </c>
      <c r="E114" s="15">
        <f>298964.96+371.54+64735.66+30853.07+60.07+876.07+3.64-2772.5-63.57</f>
        <v>393028.94000000006</v>
      </c>
      <c r="F114" s="15">
        <f>1393.55+179.61</f>
        <v>1573.1599999999999</v>
      </c>
      <c r="G114" s="19">
        <f t="shared" si="5"/>
        <v>0.4002656903585776</v>
      </c>
      <c r="H114" s="16">
        <f t="shared" si="8"/>
        <v>1513925.0699999998</v>
      </c>
      <c r="I114" s="16">
        <f t="shared" si="9"/>
        <v>17292.47</v>
      </c>
      <c r="J114" s="19">
        <f t="shared" si="7"/>
        <v>1.142227600471667</v>
      </c>
    </row>
    <row r="115" spans="1:10" ht="12.75">
      <c r="A115" s="1" t="s">
        <v>116</v>
      </c>
      <c r="B115" s="3">
        <f>448452.45+94.92+220.09+2.88-2293.38</f>
        <v>446476.96</v>
      </c>
      <c r="C115" s="3">
        <v>9148.52</v>
      </c>
      <c r="D115" s="20">
        <f t="shared" si="6"/>
        <v>2.0490463830429233</v>
      </c>
      <c r="E115" s="3">
        <f>55185.32+217.22+18066.52+7167.21+15.68+918.1+42.41-311.41</f>
        <v>81301.05</v>
      </c>
      <c r="F115" s="3">
        <v>0</v>
      </c>
      <c r="G115" s="20">
        <f aca="true" t="shared" si="10" ref="G115:G125">F115/E115*100</f>
        <v>0</v>
      </c>
      <c r="H115" s="6">
        <f t="shared" si="8"/>
        <v>527778.01</v>
      </c>
      <c r="I115" s="6">
        <f t="shared" si="9"/>
        <v>9148.52</v>
      </c>
      <c r="J115" s="20">
        <f t="shared" si="7"/>
        <v>1.7334030267763523</v>
      </c>
    </row>
    <row r="116" spans="1:10" ht="12.75">
      <c r="A116" s="1" t="s">
        <v>117</v>
      </c>
      <c r="B116" s="3">
        <f>838792.92+38.31+136.23+86.38-3743.29</f>
        <v>835310.55</v>
      </c>
      <c r="C116" s="4">
        <v>8609.57</v>
      </c>
      <c r="D116" s="20">
        <f t="shared" si="6"/>
        <v>1.0307028924751398</v>
      </c>
      <c r="E116" s="3">
        <f>49933.3+90144.43+10541.21+24245.72+7.81-72.06</f>
        <v>174800.40999999997</v>
      </c>
      <c r="F116" s="3">
        <f>942.1+24.53+19.29</f>
        <v>985.92</v>
      </c>
      <c r="G116" s="20">
        <f t="shared" si="10"/>
        <v>0.5640261370096329</v>
      </c>
      <c r="H116" s="6">
        <f t="shared" si="8"/>
        <v>1010110.96</v>
      </c>
      <c r="I116" s="6">
        <f t="shared" si="9"/>
        <v>9595.49</v>
      </c>
      <c r="J116" s="20">
        <f t="shared" si="7"/>
        <v>0.9499441526701186</v>
      </c>
    </row>
    <row r="117" spans="1:10" ht="12.75">
      <c r="A117" s="1" t="s">
        <v>118</v>
      </c>
      <c r="B117" s="15">
        <f>345716.63+28.74+291.05-1535.61</f>
        <v>344500.81</v>
      </c>
      <c r="C117" s="15">
        <v>5187.93</v>
      </c>
      <c r="D117" s="19">
        <f t="shared" si="6"/>
        <v>1.505926793031343</v>
      </c>
      <c r="E117" s="15">
        <f>48581.66+665.39+1084.12+5.25+0.47</f>
        <v>50336.89000000001</v>
      </c>
      <c r="F117" s="15">
        <f>423.25+256.41</f>
        <v>679.6600000000001</v>
      </c>
      <c r="G117" s="19">
        <f t="shared" si="10"/>
        <v>1.3502224710346626</v>
      </c>
      <c r="H117" s="16">
        <f t="shared" si="8"/>
        <v>394837.7</v>
      </c>
      <c r="I117" s="16">
        <f t="shared" si="9"/>
        <v>5867.59</v>
      </c>
      <c r="J117" s="19">
        <f t="shared" si="7"/>
        <v>1.4860764308980625</v>
      </c>
    </row>
    <row r="118" spans="1:10" ht="12.75">
      <c r="A118" s="1" t="s">
        <v>119</v>
      </c>
      <c r="B118" s="4">
        <f>546157.16+114.92+37893.17+36.01+196.5-3923.13</f>
        <v>580474.6300000001</v>
      </c>
      <c r="C118" s="3">
        <v>6673.91</v>
      </c>
      <c r="D118" s="20">
        <f t="shared" si="6"/>
        <v>1.1497332794716626</v>
      </c>
      <c r="E118" s="3">
        <f>236735.2+203.04+74453.08+18647.31+20.49+1538.48+3.36</f>
        <v>331600.95999999996</v>
      </c>
      <c r="F118" s="3">
        <v>85.71</v>
      </c>
      <c r="G118" s="20">
        <f t="shared" si="10"/>
        <v>0.02584733168444386</v>
      </c>
      <c r="H118" s="6">
        <f t="shared" si="8"/>
        <v>912075.5900000001</v>
      </c>
      <c r="I118" s="6">
        <f t="shared" si="9"/>
        <v>6759.62</v>
      </c>
      <c r="J118" s="20">
        <f t="shared" si="7"/>
        <v>0.7411249762752667</v>
      </c>
    </row>
    <row r="119" spans="1:10" ht="12.75">
      <c r="A119" s="1" t="s">
        <v>120</v>
      </c>
      <c r="B119" s="3">
        <f>7319226.35+900.54+9955.08+678.69+28979.48-14841.78</f>
        <v>7344898.36</v>
      </c>
      <c r="C119" s="3">
        <v>70564.43</v>
      </c>
      <c r="D119" s="20">
        <f t="shared" si="6"/>
        <v>0.9607271134518461</v>
      </c>
      <c r="E119" s="3">
        <f>1540246.11+1314.23+951837.06+285781.26+384.95+23698+18.73-1935.19-424.27</f>
        <v>2800920.8800000004</v>
      </c>
      <c r="F119" s="3">
        <f>27062.55+4751.97+10008.81+5.25</f>
        <v>41828.58</v>
      </c>
      <c r="G119" s="20">
        <f t="shared" si="10"/>
        <v>1.493386703590142</v>
      </c>
      <c r="H119" s="6">
        <f t="shared" si="8"/>
        <v>10145819.24</v>
      </c>
      <c r="I119" s="6">
        <f t="shared" si="9"/>
        <v>112393.01</v>
      </c>
      <c r="J119" s="20">
        <f t="shared" si="7"/>
        <v>1.1077765860137676</v>
      </c>
    </row>
    <row r="120" spans="1:10" ht="12.75">
      <c r="A120" s="1" t="s">
        <v>121</v>
      </c>
      <c r="B120" s="15">
        <f>537561.48+62.25+18.3+615-1767.41</f>
        <v>536489.62</v>
      </c>
      <c r="C120" s="15">
        <v>6510.53</v>
      </c>
      <c r="D120" s="19">
        <f t="shared" si="6"/>
        <v>1.213542584477217</v>
      </c>
      <c r="E120" s="15">
        <f>121692.85+90534.49+20132.78+18.39+0.56</f>
        <v>232379.07000000004</v>
      </c>
      <c r="F120" s="15">
        <f>28.2+1.88</f>
        <v>30.08</v>
      </c>
      <c r="G120" s="19">
        <f t="shared" si="10"/>
        <v>0.012944367149760947</v>
      </c>
      <c r="H120" s="16">
        <f t="shared" si="8"/>
        <v>768868.6900000001</v>
      </c>
      <c r="I120" s="16">
        <f t="shared" si="9"/>
        <v>6540.61</v>
      </c>
      <c r="J120" s="19">
        <f t="shared" si="7"/>
        <v>0.8506797174950639</v>
      </c>
    </row>
    <row r="121" spans="1:10" ht="12.75">
      <c r="A121" s="1" t="s">
        <v>122</v>
      </c>
      <c r="B121" s="3">
        <f>743853.26+781.1+75.41-2796.44</f>
        <v>741913.3300000001</v>
      </c>
      <c r="C121" s="3">
        <v>11393.46</v>
      </c>
      <c r="D121" s="20">
        <f t="shared" si="6"/>
        <v>1.5356861157892927</v>
      </c>
      <c r="E121" s="3">
        <f>99852.32+147.91+55308.93+22762.4+1278.82+54.07-0.17-5.22</f>
        <v>179399.06</v>
      </c>
      <c r="F121" s="3">
        <f>1994.69+331.98+979.53+21</f>
        <v>3327.2</v>
      </c>
      <c r="G121" s="20">
        <f t="shared" si="10"/>
        <v>1.8546362506024279</v>
      </c>
      <c r="H121" s="6">
        <f t="shared" si="8"/>
        <v>921312.3900000001</v>
      </c>
      <c r="I121" s="6">
        <f t="shared" si="9"/>
        <v>14720.66</v>
      </c>
      <c r="J121" s="20">
        <f t="shared" si="7"/>
        <v>1.5977924708035238</v>
      </c>
    </row>
    <row r="122" spans="1:10" ht="12.75">
      <c r="A122" s="1" t="s">
        <v>123</v>
      </c>
      <c r="B122" s="3">
        <f>419437.33+15683.53+234.8+1742.98-895.36</f>
        <v>436203.28</v>
      </c>
      <c r="C122" s="3">
        <f>11007.27+2.75</f>
        <v>11010.02</v>
      </c>
      <c r="D122" s="20">
        <f t="shared" si="6"/>
        <v>2.5240571322618206</v>
      </c>
      <c r="E122" s="3">
        <f>339823.59+1192.42+49686.68+9278.4+50+6.64</f>
        <v>400037.73000000004</v>
      </c>
      <c r="F122" s="3">
        <f>306.82+56.89</f>
        <v>363.71</v>
      </c>
      <c r="G122" s="20">
        <f t="shared" si="10"/>
        <v>0.09091892407248685</v>
      </c>
      <c r="H122" s="6">
        <f t="shared" si="8"/>
        <v>836241.01</v>
      </c>
      <c r="I122" s="6">
        <f t="shared" si="9"/>
        <v>11373.73</v>
      </c>
      <c r="J122" s="20">
        <f t="shared" si="7"/>
        <v>1.3601019160732144</v>
      </c>
    </row>
    <row r="123" spans="1:10" ht="12.75">
      <c r="A123" s="1" t="s">
        <v>124</v>
      </c>
      <c r="B123" s="3">
        <f>1128973.67+158.16+53422.48+2102.61+540-12339.94</f>
        <v>1172856.98</v>
      </c>
      <c r="C123" s="3">
        <v>102198.82</v>
      </c>
      <c r="D123" s="20">
        <f t="shared" si="6"/>
        <v>8.713664303724398</v>
      </c>
      <c r="E123" s="3">
        <f>223334.89+6866.19+64579.65+7.26+34936.63+224.35+266.77+34.8+0.55-525.28-24.36</f>
        <v>329701.45</v>
      </c>
      <c r="F123" s="3">
        <f>7657.05+592.54+504.86</f>
        <v>8754.45</v>
      </c>
      <c r="G123" s="20">
        <f t="shared" si="10"/>
        <v>2.6552658473294555</v>
      </c>
      <c r="H123" s="6">
        <f t="shared" si="8"/>
        <v>1502558.43</v>
      </c>
      <c r="I123" s="6">
        <f t="shared" si="9"/>
        <v>110953.27</v>
      </c>
      <c r="J123" s="20">
        <f t="shared" si="7"/>
        <v>7.3842898741714835</v>
      </c>
    </row>
    <row r="124" spans="1:10" ht="12.75">
      <c r="A124" s="1" t="s">
        <v>125</v>
      </c>
      <c r="B124" s="4">
        <f>181016.02+10842.3-2401.94</f>
        <v>189456.37999999998</v>
      </c>
      <c r="C124" s="3">
        <v>15690.18</v>
      </c>
      <c r="D124" s="20">
        <f t="shared" si="6"/>
        <v>8.281684681191525</v>
      </c>
      <c r="E124" s="3">
        <f>16569.22+2865.01+8070.84-6.41</f>
        <v>27498.660000000003</v>
      </c>
      <c r="F124" s="3">
        <f>30.39+73.5+2595.53+17.62</f>
        <v>2717.04</v>
      </c>
      <c r="G124" s="20">
        <f t="shared" si="10"/>
        <v>9.880626910547639</v>
      </c>
      <c r="H124" s="6">
        <f t="shared" si="8"/>
        <v>216955.03999999998</v>
      </c>
      <c r="I124" s="6">
        <f t="shared" si="9"/>
        <v>18407.22</v>
      </c>
      <c r="J124" s="20">
        <f t="shared" si="7"/>
        <v>8.484347724763621</v>
      </c>
    </row>
    <row r="125" spans="1:10" ht="12.75">
      <c r="A125" s="1" t="s">
        <v>126</v>
      </c>
      <c r="B125" s="3">
        <f>2392502.2+66.37+61.82-4358.82</f>
        <v>2388271.5700000003</v>
      </c>
      <c r="C125" s="3">
        <v>57136.93</v>
      </c>
      <c r="D125" s="20">
        <f t="shared" si="6"/>
        <v>2.392396690465146</v>
      </c>
      <c r="E125" s="3">
        <f>200361.63+299902.8+35935.18+548.12+66.38+1993.47-356.01-588.96</f>
        <v>537862.61</v>
      </c>
      <c r="F125" s="3">
        <f>1696.68+38.78</f>
        <v>1735.46</v>
      </c>
      <c r="G125" s="20">
        <f t="shared" si="10"/>
        <v>0.32265860607042385</v>
      </c>
      <c r="H125" s="6">
        <f t="shared" si="8"/>
        <v>2926134.18</v>
      </c>
      <c r="I125" s="6">
        <f t="shared" si="9"/>
        <v>58872.39</v>
      </c>
      <c r="J125" s="20">
        <f t="shared" si="7"/>
        <v>2.011951140258373</v>
      </c>
    </row>
    <row r="126" spans="1:10" ht="13.5" thickBot="1">
      <c r="A126" s="2"/>
      <c r="B126" s="5"/>
      <c r="C126" s="5"/>
      <c r="D126" s="21"/>
      <c r="E126" s="5"/>
      <c r="F126" s="5"/>
      <c r="G126" s="21"/>
      <c r="H126" s="7"/>
      <c r="I126" s="7"/>
      <c r="J126" s="2"/>
    </row>
    <row r="127" spans="1:10" ht="13.5" thickTop="1">
      <c r="A127" s="1" t="s">
        <v>127</v>
      </c>
      <c r="B127" s="13">
        <f>SUM(B6:B125)</f>
        <v>259789211.08999997</v>
      </c>
      <c r="C127" s="13">
        <f>SUM(C6:C125)</f>
        <v>6246478.709999998</v>
      </c>
      <c r="D127" s="22">
        <f>C127/B127*100</f>
        <v>2.4044411558861856</v>
      </c>
      <c r="E127" s="13">
        <f>SUM(E6:E125)</f>
        <v>82543633.31999995</v>
      </c>
      <c r="F127" s="13">
        <f>SUM(F6:F125)</f>
        <v>1423817.1799999997</v>
      </c>
      <c r="G127" s="22">
        <f>F127/E127*100</f>
        <v>1.7249267117673814</v>
      </c>
      <c r="H127" s="13">
        <f>SUM(H6:H125)</f>
        <v>342332844.41000015</v>
      </c>
      <c r="I127" s="13">
        <f>SUM(I6:I125)</f>
        <v>7670295.889999999</v>
      </c>
      <c r="J127" s="22">
        <f>I127/H127*100</f>
        <v>2.240595962452715</v>
      </c>
    </row>
    <row r="129" spans="1:10" ht="12.75">
      <c r="A129" s="18">
        <v>40157</v>
      </c>
      <c r="B129" s="24" t="s">
        <v>128</v>
      </c>
      <c r="C129" s="24"/>
      <c r="D129" s="24"/>
      <c r="E129" s="24"/>
      <c r="F129" s="24"/>
      <c r="G129" s="24"/>
      <c r="H129" s="24"/>
      <c r="I129" s="24"/>
      <c r="J129" s="24"/>
    </row>
  </sheetData>
  <mergeCells count="3">
    <mergeCell ref="A1:J1"/>
    <mergeCell ref="A2:J2"/>
    <mergeCell ref="B129:J129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</dc:title>
  <dc:subject/>
  <dc:creator>rev0760</dc:creator>
  <cp:keywords/>
  <dc:description/>
  <cp:lastModifiedBy>rev0760</cp:lastModifiedBy>
  <cp:lastPrinted>2009-02-06T17:07:18Z</cp:lastPrinted>
  <dcterms:created xsi:type="dcterms:W3CDTF">2008-01-31T15:08:19Z</dcterms:created>
  <dcterms:modified xsi:type="dcterms:W3CDTF">2010-01-13T13:03:26Z</dcterms:modified>
  <cp:category/>
  <cp:version/>
  <cp:contentType/>
  <cp:contentStatus/>
</cp:coreProperties>
</file>